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essi\Desktop\Hallo Amsterdam\Igor Guerreiro\Courses\FP&amp;A\"/>
    </mc:Choice>
  </mc:AlternateContent>
  <xr:revisionPtr revIDLastSave="0" documentId="8_{676A2587-B56B-42DF-AFFD-9E8486A73987}" xr6:coauthVersionLast="47" xr6:coauthVersionMax="47" xr10:uidLastSave="{00000000-0000-0000-0000-000000000000}"/>
  <bookViews>
    <workbookView xWindow="-108" yWindow="-108" windowWidth="23256" windowHeight="12576" tabRatio="929" activeTab="18" xr2:uid="{00000000-000D-0000-FFFF-FFFF00000000}"/>
  </bookViews>
  <sheets>
    <sheet name="Digital Agency Profile" sheetId="2" r:id="rId1"/>
    <sheet name="Annual Report --&gt;" sheetId="6" r:id="rId2"/>
    <sheet name="Income Statement" sheetId="1" r:id="rId3"/>
    <sheet name="Balance Sheet" sheetId="3" r:id="rId4"/>
    <sheet name="Cash Flow Statement" sheetId="5" r:id="rId5"/>
    <sheet name="Budget Templates --&gt;" sheetId="23" r:id="rId6"/>
    <sheet name="Revenue - Bottom-Up" sheetId="8" r:id="rId7"/>
    <sheet name="Revenue - Top-Down" sheetId="14" r:id="rId8"/>
    <sheet name="Revenue Budget" sheetId="15" r:id="rId9"/>
    <sheet name="Master Budget --&gt;" sheetId="16" r:id="rId10"/>
    <sheet name="Cost of Sales - Ad Campaigns" sheetId="9" r:id="rId11"/>
    <sheet name="Cost of Sales - SEO Campaigns" sheetId="20" r:id="rId12"/>
    <sheet name="SG&amp;A" sheetId="10" r:id="rId13"/>
    <sheet name="Fixed Assets" sheetId="12" r:id="rId14"/>
    <sheet name="Working Capital" sheetId="21" r:id="rId15"/>
    <sheet name="Financial Liabilities" sheetId="22" r:id="rId16"/>
    <sheet name="IS" sheetId="18" r:id="rId17"/>
    <sheet name="BS" sheetId="17" r:id="rId18"/>
    <sheet name="CF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7" l="1"/>
  <c r="J23" i="17"/>
  <c r="I23" i="17"/>
  <c r="H23" i="17"/>
  <c r="D23" i="17"/>
  <c r="E23" i="17"/>
  <c r="F23" i="17"/>
  <c r="C23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1" i="17"/>
  <c r="D21" i="17"/>
  <c r="E21" i="17"/>
  <c r="F21" i="17"/>
  <c r="D15" i="17"/>
  <c r="E15" i="17"/>
  <c r="F15" i="17"/>
  <c r="C15" i="17"/>
  <c r="C6" i="17"/>
  <c r="D6" i="17"/>
  <c r="E6" i="17"/>
  <c r="F6" i="17"/>
  <c r="C7" i="17"/>
  <c r="D7" i="17"/>
  <c r="E7" i="17"/>
  <c r="F7" i="17"/>
  <c r="C8" i="17"/>
  <c r="D8" i="17"/>
  <c r="E8" i="17"/>
  <c r="F8" i="17"/>
  <c r="C9" i="17"/>
  <c r="D9" i="17"/>
  <c r="E9" i="17"/>
  <c r="F9" i="17"/>
  <c r="C10" i="17"/>
  <c r="D10" i="17"/>
  <c r="E10" i="17"/>
  <c r="F10" i="17"/>
  <c r="D5" i="17"/>
  <c r="D12" i="17" s="1"/>
  <c r="E5" i="17"/>
  <c r="F5" i="17"/>
  <c r="C5" i="17"/>
  <c r="C12" i="17" s="1"/>
  <c r="G18" i="18"/>
  <c r="F18" i="18"/>
  <c r="E18" i="18"/>
  <c r="D18" i="18"/>
  <c r="C18" i="18"/>
  <c r="G16" i="18"/>
  <c r="F16" i="18"/>
  <c r="E16" i="18"/>
  <c r="D16" i="18"/>
  <c r="C16" i="18"/>
  <c r="G14" i="18"/>
  <c r="F14" i="18"/>
  <c r="E14" i="18"/>
  <c r="D14" i="18"/>
  <c r="C14" i="18"/>
  <c r="G12" i="18"/>
  <c r="F12" i="18"/>
  <c r="E12" i="18"/>
  <c r="D12" i="18"/>
  <c r="C12" i="18"/>
  <c r="G10" i="18"/>
  <c r="F10" i="18"/>
  <c r="E10" i="18"/>
  <c r="D10" i="18"/>
  <c r="C10" i="18"/>
  <c r="D7" i="12"/>
  <c r="E7" i="12"/>
  <c r="F7" i="12"/>
  <c r="C7" i="12"/>
  <c r="D9" i="9"/>
  <c r="D11" i="9" s="1"/>
  <c r="E9" i="9"/>
  <c r="F9" i="9"/>
  <c r="G9" i="9"/>
  <c r="G11" i="9" s="1"/>
  <c r="C9" i="9"/>
  <c r="C11" i="9"/>
  <c r="G7" i="9"/>
  <c r="D7" i="9"/>
  <c r="E7" i="9"/>
  <c r="F7" i="9"/>
  <c r="C7" i="9"/>
  <c r="E11" i="9"/>
  <c r="F11" i="9"/>
  <c r="I23" i="15"/>
  <c r="C9" i="8"/>
  <c r="D9" i="8"/>
  <c r="E9" i="8"/>
  <c r="F9" i="8"/>
  <c r="C10" i="8"/>
  <c r="D10" i="8"/>
  <c r="E10" i="8"/>
  <c r="F10" i="8"/>
  <c r="C11" i="8"/>
  <c r="D11" i="8"/>
  <c r="E11" i="8"/>
  <c r="F11" i="8"/>
  <c r="D8" i="8"/>
  <c r="E8" i="8"/>
  <c r="F8" i="8"/>
  <c r="C8" i="8"/>
  <c r="I41" i="8"/>
  <c r="J41" i="8"/>
  <c r="K41" i="8"/>
  <c r="H41" i="8"/>
  <c r="D41" i="8"/>
  <c r="E41" i="8"/>
  <c r="C41" i="8"/>
  <c r="D32" i="8"/>
  <c r="E32" i="8"/>
  <c r="F32" i="8"/>
  <c r="H32" i="8"/>
  <c r="I32" i="8"/>
  <c r="J32" i="8"/>
  <c r="K32" i="8"/>
  <c r="C32" i="8"/>
  <c r="F12" i="17" l="1"/>
  <c r="E12" i="17"/>
  <c r="M10" i="9" l="1"/>
  <c r="L10" i="9"/>
  <c r="K10" i="9"/>
  <c r="J10" i="9"/>
  <c r="I10" i="9"/>
  <c r="F17" i="19" l="1"/>
  <c r="E17" i="19"/>
  <c r="G17" i="19" s="1"/>
  <c r="D17" i="19"/>
  <c r="C17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9" i="19"/>
  <c r="E9" i="19"/>
  <c r="D9" i="19"/>
  <c r="C9" i="19"/>
  <c r="G7" i="19"/>
  <c r="F7" i="19"/>
  <c r="E7" i="19"/>
  <c r="D7" i="19"/>
  <c r="C7" i="19"/>
  <c r="G6" i="19"/>
  <c r="F6" i="19"/>
  <c r="E6" i="19"/>
  <c r="D6" i="19"/>
  <c r="C6" i="19"/>
  <c r="G5" i="19"/>
  <c r="F5" i="19"/>
  <c r="E5" i="19"/>
  <c r="D5" i="19"/>
  <c r="C5" i="19"/>
  <c r="G9" i="19" l="1"/>
  <c r="G14" i="19"/>
  <c r="G15" i="19"/>
  <c r="G13" i="19"/>
  <c r="F6" i="22" l="1"/>
  <c r="E6" i="22"/>
  <c r="D6" i="22"/>
  <c r="C6" i="22"/>
  <c r="L6" i="9" l="1"/>
  <c r="K6" i="9"/>
  <c r="J6" i="9"/>
  <c r="I6" i="9"/>
  <c r="L6" i="20"/>
  <c r="K6" i="20"/>
  <c r="J6" i="20"/>
  <c r="I6" i="20"/>
  <c r="T28" i="8" l="1"/>
  <c r="F6" i="12"/>
  <c r="E6" i="12"/>
  <c r="D6" i="12"/>
  <c r="F25" i="17" l="1"/>
  <c r="E25" i="17"/>
  <c r="D25" i="17"/>
  <c r="C25" i="17"/>
  <c r="L15" i="19"/>
  <c r="K15" i="19"/>
  <c r="J15" i="19"/>
  <c r="K18" i="17" l="1"/>
  <c r="J18" i="17"/>
  <c r="I18" i="17"/>
  <c r="H18" i="17"/>
  <c r="I15" i="19" s="1"/>
  <c r="M15" i="19" s="1"/>
  <c r="F5" i="22"/>
  <c r="F7" i="22" s="1"/>
  <c r="E5" i="22"/>
  <c r="E7" i="22" s="1"/>
  <c r="D5" i="22"/>
  <c r="D7" i="22" s="1"/>
  <c r="C5" i="22"/>
  <c r="C7" i="22" s="1"/>
  <c r="K16" i="17"/>
  <c r="J16" i="17"/>
  <c r="I16" i="17"/>
  <c r="H16" i="17"/>
  <c r="I14" i="19" s="1"/>
  <c r="K10" i="17"/>
  <c r="J10" i="17"/>
  <c r="I10" i="17"/>
  <c r="H10" i="17"/>
  <c r="I10" i="19" s="1"/>
  <c r="F15" i="18"/>
  <c r="E15" i="18"/>
  <c r="D15" i="18"/>
  <c r="C15" i="18"/>
  <c r="F13" i="18"/>
  <c r="E13" i="18"/>
  <c r="D13" i="18"/>
  <c r="F11" i="18"/>
  <c r="E11" i="18"/>
  <c r="D11" i="18"/>
  <c r="C11" i="18"/>
  <c r="F9" i="18"/>
  <c r="E9" i="18"/>
  <c r="D9" i="18"/>
  <c r="C9" i="18"/>
  <c r="F8" i="18"/>
  <c r="E8" i="18"/>
  <c r="D8" i="18"/>
  <c r="C8" i="18"/>
  <c r="F6" i="18"/>
  <c r="E6" i="18"/>
  <c r="D6" i="18"/>
  <c r="C6" i="18"/>
  <c r="F5" i="18"/>
  <c r="E5" i="18"/>
  <c r="D5" i="18"/>
  <c r="C5" i="18"/>
  <c r="K15" i="21"/>
  <c r="J15" i="21"/>
  <c r="I15" i="21"/>
  <c r="H15" i="21"/>
  <c r="F14" i="21"/>
  <c r="K14" i="21" s="1"/>
  <c r="K7" i="17" s="1"/>
  <c r="E14" i="21"/>
  <c r="J14" i="21" s="1"/>
  <c r="J7" i="17" s="1"/>
  <c r="D14" i="21"/>
  <c r="I14" i="21" s="1"/>
  <c r="I7" i="17" s="1"/>
  <c r="C14" i="21"/>
  <c r="H14" i="21" s="1"/>
  <c r="H7" i="17" s="1"/>
  <c r="F11" i="21"/>
  <c r="E11" i="21"/>
  <c r="D11" i="21"/>
  <c r="C11" i="21"/>
  <c r="F8" i="21"/>
  <c r="E8" i="21"/>
  <c r="D8" i="21"/>
  <c r="C8" i="21"/>
  <c r="F6" i="21"/>
  <c r="F12" i="21" s="1"/>
  <c r="E6" i="21"/>
  <c r="E12" i="21" s="1"/>
  <c r="D6" i="21"/>
  <c r="D12" i="21" s="1"/>
  <c r="C6" i="21"/>
  <c r="C12" i="21" s="1"/>
  <c r="K7" i="12"/>
  <c r="J7" i="12"/>
  <c r="I7" i="12"/>
  <c r="H7" i="12"/>
  <c r="M27" i="10"/>
  <c r="L27" i="10"/>
  <c r="K27" i="10"/>
  <c r="J27" i="10"/>
  <c r="I27" i="10"/>
  <c r="M24" i="10"/>
  <c r="L24" i="10"/>
  <c r="K24" i="10"/>
  <c r="J24" i="10"/>
  <c r="I24" i="10"/>
  <c r="L20" i="10"/>
  <c r="K20" i="10"/>
  <c r="J20" i="10"/>
  <c r="I20" i="10"/>
  <c r="G29" i="10"/>
  <c r="F29" i="10"/>
  <c r="E29" i="10"/>
  <c r="D29" i="10"/>
  <c r="C29" i="10"/>
  <c r="L8" i="10"/>
  <c r="K8" i="10"/>
  <c r="J8" i="10"/>
  <c r="I8" i="10"/>
  <c r="M11" i="10"/>
  <c r="L11" i="10"/>
  <c r="K11" i="10"/>
  <c r="J11" i="10"/>
  <c r="I11" i="10"/>
  <c r="M17" i="10"/>
  <c r="L17" i="10"/>
  <c r="K17" i="10"/>
  <c r="J17" i="10"/>
  <c r="I17" i="10"/>
  <c r="L14" i="10"/>
  <c r="K14" i="10"/>
  <c r="J14" i="10"/>
  <c r="I14" i="10"/>
  <c r="M14" i="10"/>
  <c r="L5" i="10"/>
  <c r="K5" i="10"/>
  <c r="J5" i="10"/>
  <c r="I5" i="10"/>
  <c r="M20" i="10" l="1"/>
  <c r="K14" i="19"/>
  <c r="L14" i="19"/>
  <c r="K7" i="22"/>
  <c r="K6" i="22" s="1"/>
  <c r="L15" i="18" s="1"/>
  <c r="L6" i="19" s="1"/>
  <c r="J7" i="22"/>
  <c r="J6" i="22" s="1"/>
  <c r="K15" i="18" s="1"/>
  <c r="K6" i="19" s="1"/>
  <c r="I7" i="22"/>
  <c r="I6" i="22" s="1"/>
  <c r="J15" i="18" s="1"/>
  <c r="J6" i="19" s="1"/>
  <c r="H7" i="22"/>
  <c r="H6" i="22" s="1"/>
  <c r="I15" i="18" s="1"/>
  <c r="J10" i="19"/>
  <c r="K10" i="19"/>
  <c r="L10" i="19"/>
  <c r="J14" i="19"/>
  <c r="I12" i="21"/>
  <c r="H12" i="21"/>
  <c r="J12" i="21"/>
  <c r="K12" i="21"/>
  <c r="M8" i="10"/>
  <c r="M5" i="10"/>
  <c r="M14" i="19" l="1"/>
  <c r="M10" i="19"/>
  <c r="M15" i="18"/>
  <c r="M6" i="19" s="1"/>
  <c r="I6" i="19"/>
  <c r="F13" i="20"/>
  <c r="E13" i="20"/>
  <c r="D13" i="20"/>
  <c r="C13" i="20"/>
  <c r="G13" i="20" s="1"/>
  <c r="F7" i="20"/>
  <c r="F11" i="20" s="1"/>
  <c r="E7" i="20"/>
  <c r="D7" i="20"/>
  <c r="C7" i="20"/>
  <c r="L5" i="20"/>
  <c r="K5" i="20"/>
  <c r="K7" i="20" s="1"/>
  <c r="J5" i="20"/>
  <c r="I5" i="20"/>
  <c r="G13" i="9"/>
  <c r="F13" i="9"/>
  <c r="E13" i="9"/>
  <c r="D13" i="9"/>
  <c r="C13" i="9"/>
  <c r="L5" i="9"/>
  <c r="K5" i="9"/>
  <c r="J5" i="9"/>
  <c r="I5" i="9"/>
  <c r="E11" i="20" l="1"/>
  <c r="C11" i="20"/>
  <c r="D11" i="20"/>
  <c r="G7" i="20"/>
  <c r="G11" i="20" s="1"/>
  <c r="J7" i="20"/>
  <c r="L7" i="20"/>
  <c r="I7" i="20"/>
  <c r="K7" i="9"/>
  <c r="L7" i="9"/>
  <c r="J7" i="9"/>
  <c r="I7" i="9"/>
  <c r="M7" i="20" l="1"/>
  <c r="M7" i="9"/>
  <c r="L5" i="1" l="1"/>
  <c r="G5" i="18" s="1"/>
  <c r="U40" i="8" l="1"/>
  <c r="T40" i="8"/>
  <c r="S40" i="8"/>
  <c r="R40" i="8"/>
  <c r="U39" i="8"/>
  <c r="T39" i="8"/>
  <c r="S39" i="8"/>
  <c r="R39" i="8"/>
  <c r="U38" i="8"/>
  <c r="T38" i="8"/>
  <c r="S38" i="8"/>
  <c r="R38" i="8"/>
  <c r="U37" i="8"/>
  <c r="T37" i="8"/>
  <c r="S37" i="8"/>
  <c r="R37" i="8"/>
  <c r="U31" i="8"/>
  <c r="T31" i="8"/>
  <c r="S31" i="8"/>
  <c r="R31" i="8"/>
  <c r="U30" i="8"/>
  <c r="T30" i="8"/>
  <c r="S30" i="8"/>
  <c r="R30" i="8"/>
  <c r="U29" i="8"/>
  <c r="T29" i="8"/>
  <c r="S29" i="8"/>
  <c r="R29" i="8"/>
  <c r="U28" i="8"/>
  <c r="S28" i="8"/>
  <c r="R28" i="8"/>
  <c r="C7" i="14" l="1"/>
  <c r="C9" i="14" s="1"/>
  <c r="C11" i="14" s="1"/>
  <c r="C13" i="14" s="1"/>
  <c r="C5" i="15" s="1"/>
  <c r="K20" i="8"/>
  <c r="U20" i="8" s="1"/>
  <c r="U60" i="8" s="1"/>
  <c r="J20" i="8"/>
  <c r="T20" i="8" s="1"/>
  <c r="T60" i="8" s="1"/>
  <c r="I20" i="8"/>
  <c r="S20" i="8" s="1"/>
  <c r="S60" i="8" s="1"/>
  <c r="H20" i="8"/>
  <c r="R20" i="8" s="1"/>
  <c r="K19" i="8"/>
  <c r="U19" i="8" s="1"/>
  <c r="U59" i="8" s="1"/>
  <c r="J19" i="8"/>
  <c r="T19" i="8" s="1"/>
  <c r="T59" i="8" s="1"/>
  <c r="I19" i="8"/>
  <c r="S19" i="8" s="1"/>
  <c r="S59" i="8" s="1"/>
  <c r="H19" i="8"/>
  <c r="R19" i="8" s="1"/>
  <c r="K18" i="8"/>
  <c r="U18" i="8" s="1"/>
  <c r="U58" i="8" s="1"/>
  <c r="J18" i="8"/>
  <c r="T18" i="8" s="1"/>
  <c r="T58" i="8" s="1"/>
  <c r="I18" i="8"/>
  <c r="H18" i="8"/>
  <c r="R18" i="8" s="1"/>
  <c r="R58" i="8" s="1"/>
  <c r="K17" i="8"/>
  <c r="J17" i="8"/>
  <c r="I17" i="8"/>
  <c r="S17" i="8" s="1"/>
  <c r="H17" i="8"/>
  <c r="R17" i="8" s="1"/>
  <c r="F20" i="8"/>
  <c r="E20" i="8"/>
  <c r="D20" i="8"/>
  <c r="C20" i="8"/>
  <c r="F19" i="8"/>
  <c r="E19" i="8"/>
  <c r="D19" i="8"/>
  <c r="C19" i="8"/>
  <c r="F18" i="8"/>
  <c r="E18" i="8"/>
  <c r="D18" i="8"/>
  <c r="C18" i="8"/>
  <c r="E17" i="8"/>
  <c r="E21" i="8" s="1"/>
  <c r="D17" i="8"/>
  <c r="C17" i="8"/>
  <c r="K11" i="8"/>
  <c r="U11" i="8" s="1"/>
  <c r="U51" i="8" s="1"/>
  <c r="J11" i="8"/>
  <c r="T11" i="8" s="1"/>
  <c r="T51" i="8" s="1"/>
  <c r="I11" i="8"/>
  <c r="S11" i="8" s="1"/>
  <c r="S51" i="8" s="1"/>
  <c r="H11" i="8"/>
  <c r="R11" i="8" s="1"/>
  <c r="R51" i="8" s="1"/>
  <c r="K10" i="8"/>
  <c r="U10" i="8" s="1"/>
  <c r="U50" i="8" s="1"/>
  <c r="J10" i="8"/>
  <c r="T10" i="8" s="1"/>
  <c r="T50" i="8" s="1"/>
  <c r="I10" i="8"/>
  <c r="S10" i="8" s="1"/>
  <c r="S50" i="8" s="1"/>
  <c r="H10" i="8"/>
  <c r="R10" i="8" s="1"/>
  <c r="R50" i="8" s="1"/>
  <c r="K9" i="8"/>
  <c r="U9" i="8" s="1"/>
  <c r="U49" i="8" s="1"/>
  <c r="J9" i="8"/>
  <c r="T9" i="8" s="1"/>
  <c r="T49" i="8" s="1"/>
  <c r="I9" i="8"/>
  <c r="S9" i="8" s="1"/>
  <c r="S49" i="8" s="1"/>
  <c r="H9" i="8"/>
  <c r="R9" i="8" s="1"/>
  <c r="R49" i="8" s="1"/>
  <c r="K8" i="8"/>
  <c r="J8" i="8"/>
  <c r="I8" i="8"/>
  <c r="H8" i="8"/>
  <c r="R8" i="8" s="1"/>
  <c r="G11" i="8"/>
  <c r="G10" i="8"/>
  <c r="G9" i="8"/>
  <c r="G8" i="8"/>
  <c r="F12" i="8"/>
  <c r="E12" i="8"/>
  <c r="D12" i="8"/>
  <c r="C12" i="8"/>
  <c r="K52" i="8"/>
  <c r="F14" i="15" s="1"/>
  <c r="J52" i="8"/>
  <c r="E14" i="15" s="1"/>
  <c r="I52" i="8"/>
  <c r="D14" i="15" s="1"/>
  <c r="H52" i="8"/>
  <c r="C14" i="15" s="1"/>
  <c r="L51" i="8"/>
  <c r="L50" i="8"/>
  <c r="L49" i="8"/>
  <c r="L48" i="8"/>
  <c r="G51" i="8"/>
  <c r="G31" i="8" s="1"/>
  <c r="G50" i="8"/>
  <c r="G30" i="8" s="1"/>
  <c r="G49" i="8"/>
  <c r="G48" i="8"/>
  <c r="F52" i="8"/>
  <c r="E52" i="8"/>
  <c r="D52" i="8"/>
  <c r="C52" i="8"/>
  <c r="G60" i="8"/>
  <c r="G59" i="8"/>
  <c r="G58" i="8"/>
  <c r="G57" i="8"/>
  <c r="L60" i="8"/>
  <c r="L59" i="8"/>
  <c r="N59" i="8" s="1"/>
  <c r="L58" i="8"/>
  <c r="N58" i="8" s="1"/>
  <c r="L57" i="8"/>
  <c r="K61" i="8"/>
  <c r="F15" i="15" s="1"/>
  <c r="J61" i="8"/>
  <c r="E15" i="15" s="1"/>
  <c r="I61" i="8"/>
  <c r="D15" i="15" s="1"/>
  <c r="H61" i="8"/>
  <c r="C15" i="15" s="1"/>
  <c r="F61" i="8"/>
  <c r="E61" i="8"/>
  <c r="D61" i="8"/>
  <c r="C61" i="8"/>
  <c r="N60" i="8" l="1"/>
  <c r="G29" i="8"/>
  <c r="G28" i="8"/>
  <c r="G18" i="8"/>
  <c r="G38" i="8" s="1"/>
  <c r="N57" i="8"/>
  <c r="R12" i="8"/>
  <c r="I9" i="9" s="1"/>
  <c r="I11" i="9" s="1"/>
  <c r="I13" i="9" s="1"/>
  <c r="I8" i="18" s="1"/>
  <c r="N50" i="8"/>
  <c r="V49" i="8"/>
  <c r="V50" i="8"/>
  <c r="N51" i="8"/>
  <c r="N49" i="8"/>
  <c r="N48" i="8"/>
  <c r="F16" i="15"/>
  <c r="F5" i="21" s="1"/>
  <c r="F9" i="21" s="1"/>
  <c r="G15" i="15"/>
  <c r="E16" i="15"/>
  <c r="E5" i="21" s="1"/>
  <c r="E9" i="21" s="1"/>
  <c r="D16" i="15"/>
  <c r="D5" i="21" s="1"/>
  <c r="D9" i="21" s="1"/>
  <c r="G14" i="15"/>
  <c r="C16" i="15"/>
  <c r="C5" i="21" s="1"/>
  <c r="C9" i="21" s="1"/>
  <c r="K21" i="8"/>
  <c r="F9" i="20" s="1"/>
  <c r="F10" i="20" s="1"/>
  <c r="U17" i="8"/>
  <c r="R21" i="8"/>
  <c r="V19" i="8"/>
  <c r="V20" i="8"/>
  <c r="R57" i="8"/>
  <c r="S57" i="8"/>
  <c r="L18" i="8"/>
  <c r="L38" i="8" s="1"/>
  <c r="V38" i="8" s="1"/>
  <c r="S18" i="8"/>
  <c r="S58" i="8" s="1"/>
  <c r="V58" i="8" s="1"/>
  <c r="R60" i="8"/>
  <c r="V60" i="8" s="1"/>
  <c r="J21" i="8"/>
  <c r="E9" i="20" s="1"/>
  <c r="E10" i="20" s="1"/>
  <c r="T17" i="8"/>
  <c r="R59" i="8"/>
  <c r="V59" i="8" s="1"/>
  <c r="V51" i="8"/>
  <c r="V11" i="8"/>
  <c r="V10" i="8"/>
  <c r="V9" i="8"/>
  <c r="K12" i="8"/>
  <c r="U8" i="8"/>
  <c r="I12" i="8"/>
  <c r="S8" i="8"/>
  <c r="J12" i="8"/>
  <c r="T8" i="8"/>
  <c r="R48" i="8"/>
  <c r="I21" i="8"/>
  <c r="D9" i="20" s="1"/>
  <c r="D10" i="20" s="1"/>
  <c r="D21" i="8"/>
  <c r="G12" i="8"/>
  <c r="L11" i="8"/>
  <c r="G19" i="8"/>
  <c r="G39" i="8" s="1"/>
  <c r="G20" i="8"/>
  <c r="G40" i="8" s="1"/>
  <c r="L17" i="8"/>
  <c r="L19" i="8"/>
  <c r="L20" i="8"/>
  <c r="L40" i="8" s="1"/>
  <c r="L61" i="8"/>
  <c r="G61" i="8"/>
  <c r="G52" i="8"/>
  <c r="L52" i="8"/>
  <c r="L8" i="8"/>
  <c r="L9" i="8"/>
  <c r="L10" i="8"/>
  <c r="C21" i="8"/>
  <c r="H21" i="8"/>
  <c r="H12" i="8"/>
  <c r="J11" i="3"/>
  <c r="I11" i="3"/>
  <c r="H11" i="3"/>
  <c r="G11" i="3"/>
  <c r="F11" i="3"/>
  <c r="E11" i="3"/>
  <c r="D11" i="3"/>
  <c r="C11" i="3"/>
  <c r="F5" i="12"/>
  <c r="E5" i="12"/>
  <c r="D5" i="12"/>
  <c r="F9" i="12"/>
  <c r="H5" i="12" s="1"/>
  <c r="H6" i="12" s="1"/>
  <c r="I13" i="18" s="1"/>
  <c r="E9" i="12"/>
  <c r="D9" i="12"/>
  <c r="C9" i="12"/>
  <c r="C5" i="12"/>
  <c r="F15" i="5"/>
  <c r="E15" i="5"/>
  <c r="D15" i="5"/>
  <c r="C15" i="5"/>
  <c r="F14" i="5"/>
  <c r="E14" i="5"/>
  <c r="D14" i="5"/>
  <c r="C14" i="5"/>
  <c r="F13" i="5"/>
  <c r="E13" i="5"/>
  <c r="D13" i="5"/>
  <c r="C13" i="5"/>
  <c r="F9" i="5"/>
  <c r="E9" i="5"/>
  <c r="D9" i="5"/>
  <c r="C9" i="5"/>
  <c r="F6" i="5"/>
  <c r="E6" i="5"/>
  <c r="D6" i="5"/>
  <c r="C6" i="5"/>
  <c r="G32" i="8" l="1"/>
  <c r="F10" i="5"/>
  <c r="F10" i="19"/>
  <c r="C10" i="19"/>
  <c r="E10" i="5"/>
  <c r="D10" i="19"/>
  <c r="E10" i="19"/>
  <c r="S61" i="8"/>
  <c r="S41" i="8" s="1"/>
  <c r="V29" i="8"/>
  <c r="S21" i="8"/>
  <c r="J9" i="20" s="1"/>
  <c r="G16" i="15"/>
  <c r="C8" i="15" s="1"/>
  <c r="V31" i="8"/>
  <c r="N52" i="8"/>
  <c r="V30" i="8"/>
  <c r="V18" i="8"/>
  <c r="N61" i="8"/>
  <c r="K9" i="21"/>
  <c r="J9" i="21"/>
  <c r="H9" i="21"/>
  <c r="I9" i="21"/>
  <c r="I9" i="20"/>
  <c r="U21" i="8"/>
  <c r="L9" i="20" s="1"/>
  <c r="U57" i="8"/>
  <c r="U61" i="8" s="1"/>
  <c r="T57" i="8"/>
  <c r="T61" i="8" s="1"/>
  <c r="T21" i="8"/>
  <c r="K9" i="20" s="1"/>
  <c r="N18" i="8"/>
  <c r="N38" i="8"/>
  <c r="R61" i="8"/>
  <c r="R41" i="8" s="1"/>
  <c r="V17" i="8"/>
  <c r="T12" i="8"/>
  <c r="K9" i="9" s="1"/>
  <c r="K11" i="9" s="1"/>
  <c r="K13" i="9" s="1"/>
  <c r="K8" i="18" s="1"/>
  <c r="T48" i="8"/>
  <c r="T52" i="8" s="1"/>
  <c r="S48" i="8"/>
  <c r="S52" i="8" s="1"/>
  <c r="S12" i="8"/>
  <c r="U12" i="8"/>
  <c r="L9" i="9" s="1"/>
  <c r="L11" i="9" s="1"/>
  <c r="L13" i="9" s="1"/>
  <c r="L8" i="18" s="1"/>
  <c r="U48" i="8"/>
  <c r="U52" i="8" s="1"/>
  <c r="R52" i="8"/>
  <c r="R32" i="8" s="1"/>
  <c r="V8" i="8"/>
  <c r="N19" i="8"/>
  <c r="L39" i="8"/>
  <c r="L37" i="8"/>
  <c r="L21" i="8"/>
  <c r="C9" i="20"/>
  <c r="C10" i="20" s="1"/>
  <c r="V40" i="8"/>
  <c r="N40" i="8"/>
  <c r="N8" i="8"/>
  <c r="L28" i="8"/>
  <c r="N10" i="8"/>
  <c r="L30" i="8"/>
  <c r="N30" i="8" s="1"/>
  <c r="N9" i="8"/>
  <c r="L29" i="8"/>
  <c r="N29" i="8" s="1"/>
  <c r="N11" i="8"/>
  <c r="L31" i="8"/>
  <c r="N31" i="8" s="1"/>
  <c r="G13" i="5"/>
  <c r="G15" i="5"/>
  <c r="G9" i="5"/>
  <c r="G14" i="5"/>
  <c r="F8" i="12"/>
  <c r="F11" i="19" s="1"/>
  <c r="D8" i="12"/>
  <c r="D11" i="19" s="1"/>
  <c r="E8" i="12"/>
  <c r="E11" i="19" s="1"/>
  <c r="N20" i="8"/>
  <c r="L12" i="8"/>
  <c r="D10" i="5"/>
  <c r="C10" i="5"/>
  <c r="T41" i="8" l="1"/>
  <c r="U41" i="8"/>
  <c r="N28" i="8"/>
  <c r="L32" i="8"/>
  <c r="N32" i="8" s="1"/>
  <c r="M10" i="20"/>
  <c r="I10" i="20"/>
  <c r="J10" i="20"/>
  <c r="L10" i="20"/>
  <c r="K10" i="20"/>
  <c r="E19" i="19"/>
  <c r="G10" i="19"/>
  <c r="F19" i="19"/>
  <c r="G10" i="5"/>
  <c r="D19" i="19"/>
  <c r="T32" i="8"/>
  <c r="V48" i="8"/>
  <c r="V28" i="8" s="1"/>
  <c r="V61" i="8"/>
  <c r="V57" i="8"/>
  <c r="V21" i="8"/>
  <c r="M9" i="20" s="1"/>
  <c r="V52" i="8"/>
  <c r="S32" i="8"/>
  <c r="J9" i="9"/>
  <c r="J11" i="9" s="1"/>
  <c r="V12" i="8"/>
  <c r="M9" i="9" s="1"/>
  <c r="U32" i="8"/>
  <c r="V37" i="8"/>
  <c r="N39" i="8"/>
  <c r="V39" i="8"/>
  <c r="G9" i="20"/>
  <c r="G10" i="20" s="1"/>
  <c r="L11" i="20" s="1"/>
  <c r="L13" i="20" s="1"/>
  <c r="L41" i="8"/>
  <c r="N12" i="8"/>
  <c r="D11" i="5"/>
  <c r="E11" i="5"/>
  <c r="F11" i="5"/>
  <c r="G25" i="3"/>
  <c r="J25" i="3"/>
  <c r="I25" i="3"/>
  <c r="H25" i="3"/>
  <c r="E25" i="3"/>
  <c r="D25" i="3"/>
  <c r="C25" i="3"/>
  <c r="D22" i="3"/>
  <c r="J22" i="3"/>
  <c r="I22" i="3"/>
  <c r="H22" i="3"/>
  <c r="G22" i="3"/>
  <c r="F22" i="3"/>
  <c r="E22" i="3"/>
  <c r="H13" i="3"/>
  <c r="G13" i="3"/>
  <c r="E13" i="3"/>
  <c r="D13" i="3"/>
  <c r="C13" i="3"/>
  <c r="J13" i="3"/>
  <c r="I13" i="3"/>
  <c r="F13" i="3"/>
  <c r="V41" i="8" l="1"/>
  <c r="J11" i="20"/>
  <c r="J13" i="20" s="1"/>
  <c r="J9" i="18" s="1"/>
  <c r="K11" i="20"/>
  <c r="K13" i="20" s="1"/>
  <c r="K9" i="18" s="1"/>
  <c r="C4" i="15"/>
  <c r="C6" i="15" s="1"/>
  <c r="C9" i="15" s="1"/>
  <c r="V32" i="8"/>
  <c r="J13" i="9"/>
  <c r="J8" i="18" s="1"/>
  <c r="M11" i="9"/>
  <c r="M13" i="9" s="1"/>
  <c r="M8" i="18" s="1"/>
  <c r="L9" i="18"/>
  <c r="K6" i="21"/>
  <c r="K11" i="21" s="1"/>
  <c r="K15" i="17" s="1"/>
  <c r="I11" i="20"/>
  <c r="L15" i="1"/>
  <c r="L11" i="1"/>
  <c r="G11" i="18" s="1"/>
  <c r="L9" i="1"/>
  <c r="G9" i="18" s="1"/>
  <c r="L8" i="1"/>
  <c r="G8" i="18" s="1"/>
  <c r="K7" i="1"/>
  <c r="J7" i="1"/>
  <c r="I7" i="1"/>
  <c r="H7" i="1"/>
  <c r="L6" i="1"/>
  <c r="G6" i="18" s="1"/>
  <c r="G15" i="1"/>
  <c r="G11" i="1"/>
  <c r="G9" i="1"/>
  <c r="G8" i="1"/>
  <c r="G6" i="1"/>
  <c r="G5" i="1"/>
  <c r="F9" i="1"/>
  <c r="F25" i="3" s="1"/>
  <c r="F7" i="1"/>
  <c r="E7" i="1"/>
  <c r="E24" i="3" s="1"/>
  <c r="D7" i="1"/>
  <c r="C7" i="1"/>
  <c r="J6" i="21" l="1"/>
  <c r="J11" i="21" s="1"/>
  <c r="J15" i="17" s="1"/>
  <c r="L13" i="19" s="1"/>
  <c r="E10" i="1"/>
  <c r="E12" i="1" s="1"/>
  <c r="E14" i="1" s="1"/>
  <c r="E16" i="1" s="1"/>
  <c r="I6" i="21"/>
  <c r="I11" i="21" s="1"/>
  <c r="I15" i="17" s="1"/>
  <c r="F23" i="15"/>
  <c r="D23" i="15"/>
  <c r="C23" i="15"/>
  <c r="E23" i="15"/>
  <c r="I13" i="20"/>
  <c r="M11" i="20"/>
  <c r="M13" i="20" s="1"/>
  <c r="M9" i="18" s="1"/>
  <c r="K10" i="1"/>
  <c r="F7" i="18"/>
  <c r="F12" i="12"/>
  <c r="F13" i="12" s="1"/>
  <c r="J24" i="3"/>
  <c r="J10" i="1"/>
  <c r="E7" i="18"/>
  <c r="E12" i="12"/>
  <c r="E13" i="12" s="1"/>
  <c r="I24" i="3"/>
  <c r="G15" i="18"/>
  <c r="G6" i="5"/>
  <c r="H10" i="1"/>
  <c r="H12" i="1" s="1"/>
  <c r="C7" i="18"/>
  <c r="C12" i="12"/>
  <c r="G24" i="3"/>
  <c r="I10" i="1"/>
  <c r="D12" i="12"/>
  <c r="D13" i="12" s="1"/>
  <c r="D7" i="18"/>
  <c r="H24" i="3"/>
  <c r="C10" i="1"/>
  <c r="C12" i="1" s="1"/>
  <c r="C24" i="3"/>
  <c r="D10" i="1"/>
  <c r="D12" i="1" s="1"/>
  <c r="D14" i="1" s="1"/>
  <c r="D16" i="1" s="1"/>
  <c r="D17" i="1" s="1"/>
  <c r="D18" i="1" s="1"/>
  <c r="D24" i="3"/>
  <c r="F10" i="1"/>
  <c r="F12" i="1" s="1"/>
  <c r="F14" i="1" s="1"/>
  <c r="F16" i="1" s="1"/>
  <c r="F17" i="1" s="1"/>
  <c r="F18" i="1" s="1"/>
  <c r="F24" i="3"/>
  <c r="L7" i="1"/>
  <c r="E17" i="1"/>
  <c r="E18" i="1" s="1"/>
  <c r="G7" i="1"/>
  <c r="G10" i="1" s="1"/>
  <c r="G12" i="1" s="1"/>
  <c r="K13" i="19" l="1"/>
  <c r="K26" i="10"/>
  <c r="J12" i="12"/>
  <c r="K23" i="10"/>
  <c r="J5" i="21"/>
  <c r="J8" i="21" s="1"/>
  <c r="J6" i="17" s="1"/>
  <c r="H12" i="12"/>
  <c r="G23" i="15"/>
  <c r="I23" i="10"/>
  <c r="I26" i="10"/>
  <c r="H5" i="21"/>
  <c r="H8" i="21" s="1"/>
  <c r="H6" i="17" s="1"/>
  <c r="I9" i="19" s="1"/>
  <c r="I12" i="12"/>
  <c r="J26" i="10"/>
  <c r="J23" i="10"/>
  <c r="I5" i="21"/>
  <c r="I8" i="21" s="1"/>
  <c r="I6" i="17" s="1"/>
  <c r="K12" i="12"/>
  <c r="L23" i="10"/>
  <c r="K5" i="21"/>
  <c r="K8" i="21" s="1"/>
  <c r="K6" i="17" s="1"/>
  <c r="L26" i="10"/>
  <c r="I9" i="18"/>
  <c r="H6" i="21"/>
  <c r="H11" i="21" s="1"/>
  <c r="H15" i="17" s="1"/>
  <c r="L10" i="1"/>
  <c r="G7" i="18"/>
  <c r="I12" i="1"/>
  <c r="J12" i="1"/>
  <c r="K12" i="1"/>
  <c r="C22" i="3"/>
  <c r="J29" i="10" l="1"/>
  <c r="J11" i="18" s="1"/>
  <c r="J9" i="19"/>
  <c r="I29" i="10"/>
  <c r="I11" i="18" s="1"/>
  <c r="K29" i="10"/>
  <c r="K11" i="18" s="1"/>
  <c r="L9" i="19"/>
  <c r="M26" i="10"/>
  <c r="M23" i="10"/>
  <c r="L29" i="10"/>
  <c r="L11" i="18" s="1"/>
  <c r="K9" i="19"/>
  <c r="I13" i="19"/>
  <c r="J13" i="19"/>
  <c r="J14" i="1"/>
  <c r="E5" i="5"/>
  <c r="D5" i="5"/>
  <c r="I14" i="1"/>
  <c r="F5" i="5"/>
  <c r="K14" i="1"/>
  <c r="C5" i="5"/>
  <c r="L12" i="1"/>
  <c r="M9" i="19" l="1"/>
  <c r="M29" i="10"/>
  <c r="M11" i="18" s="1"/>
  <c r="M13" i="19"/>
  <c r="G5" i="5"/>
  <c r="K16" i="1"/>
  <c r="I16" i="1"/>
  <c r="J16" i="1"/>
  <c r="I17" i="1" l="1"/>
  <c r="I18" i="1" s="1"/>
  <c r="J17" i="1"/>
  <c r="J18" i="1"/>
  <c r="K17" i="1"/>
  <c r="E17" i="5" l="1"/>
  <c r="F17" i="18"/>
  <c r="F7" i="5"/>
  <c r="K18" i="1"/>
  <c r="D17" i="5"/>
  <c r="E17" i="18"/>
  <c r="E7" i="5"/>
  <c r="D17" i="18"/>
  <c r="D7" i="5"/>
  <c r="D19" i="5" l="1"/>
  <c r="F17" i="5"/>
  <c r="F19" i="5" s="1"/>
  <c r="E19" i="5"/>
  <c r="C13" i="18"/>
  <c r="L13" i="1"/>
  <c r="G13" i="18" s="1"/>
  <c r="G13" i="1"/>
  <c r="G14" i="1" s="1"/>
  <c r="G16" i="1" s="1"/>
  <c r="H14" i="1"/>
  <c r="C6" i="12"/>
  <c r="C8" i="12"/>
  <c r="C13" i="12" l="1"/>
  <c r="C11" i="19"/>
  <c r="H16" i="1"/>
  <c r="H13" i="12"/>
  <c r="H8" i="12" s="1"/>
  <c r="I13" i="12"/>
  <c r="I8" i="12" s="1"/>
  <c r="J11" i="19" s="1"/>
  <c r="J13" i="12"/>
  <c r="J8" i="12" s="1"/>
  <c r="K11" i="19" s="1"/>
  <c r="K13" i="12"/>
  <c r="K8" i="12" s="1"/>
  <c r="L11" i="19" s="1"/>
  <c r="H17" i="1"/>
  <c r="H18" i="1" s="1"/>
  <c r="L14" i="1"/>
  <c r="C11" i="5"/>
  <c r="G11" i="5" s="1"/>
  <c r="C14" i="1"/>
  <c r="C16" i="1" s="1"/>
  <c r="G11" i="19" l="1"/>
  <c r="C19" i="19"/>
  <c r="G19" i="19" s="1"/>
  <c r="C17" i="5"/>
  <c r="G17" i="5" s="1"/>
  <c r="L16" i="1"/>
  <c r="C17" i="1"/>
  <c r="G17" i="1" s="1"/>
  <c r="G18" i="1" s="1"/>
  <c r="C17" i="18"/>
  <c r="L17" i="1"/>
  <c r="C7" i="5"/>
  <c r="H9" i="12"/>
  <c r="I11" i="19"/>
  <c r="I5" i="12" l="1"/>
  <c r="H9" i="17"/>
  <c r="G17" i="18"/>
  <c r="G7" i="5"/>
  <c r="L18" i="1"/>
  <c r="M11" i="19"/>
  <c r="C19" i="5"/>
  <c r="G19" i="5" s="1"/>
  <c r="C18" i="1"/>
  <c r="I6" i="12" l="1"/>
  <c r="J13" i="18" s="1"/>
  <c r="I9" i="12" l="1"/>
  <c r="I9" i="17" s="1"/>
  <c r="J5" i="12" l="1"/>
  <c r="J6" i="12" s="1"/>
  <c r="K13" i="18" s="1"/>
  <c r="J9" i="12" l="1"/>
  <c r="K5" i="12" s="1"/>
  <c r="J9" i="17" l="1"/>
  <c r="K6" i="12"/>
  <c r="L13" i="18" s="1"/>
  <c r="K9" i="12" l="1"/>
  <c r="K9" i="17" s="1"/>
  <c r="M13" i="18"/>
  <c r="F17" i="8" l="1"/>
  <c r="G17" i="8" s="1"/>
  <c r="F41" i="8"/>
  <c r="G37" i="8" l="1"/>
  <c r="N37" i="8" s="1"/>
  <c r="N17" i="8"/>
  <c r="F21" i="8"/>
  <c r="G21" i="8" s="1"/>
  <c r="G41" i="8" l="1"/>
  <c r="N41" i="8" s="1"/>
  <c r="N21" i="8"/>
  <c r="D22" i="15"/>
  <c r="D21" i="15" s="1"/>
  <c r="J5" i="18" s="1"/>
  <c r="E22" i="15"/>
  <c r="E21" i="15" s="1"/>
  <c r="K5" i="18" s="1"/>
  <c r="K7" i="18" s="1"/>
  <c r="K10" i="18" s="1"/>
  <c r="K12" i="18" s="1"/>
  <c r="K6" i="18"/>
  <c r="F22" i="15"/>
  <c r="F21" i="15" s="1"/>
  <c r="L5" i="18" s="1"/>
  <c r="C22" i="15"/>
  <c r="C21" i="15" s="1"/>
  <c r="I6" i="18" l="1"/>
  <c r="G21" i="15"/>
  <c r="I5" i="18"/>
  <c r="K5" i="19"/>
  <c r="K14" i="18"/>
  <c r="K16" i="18" s="1"/>
  <c r="L6" i="18"/>
  <c r="L7" i="18" s="1"/>
  <c r="L10" i="18" s="1"/>
  <c r="L12" i="18" s="1"/>
  <c r="J6" i="18"/>
  <c r="J7" i="18" s="1"/>
  <c r="J10" i="18" s="1"/>
  <c r="J12" i="18" s="1"/>
  <c r="G22" i="15"/>
  <c r="M6" i="18" s="1"/>
  <c r="I7" i="18" l="1"/>
  <c r="I10" i="18" s="1"/>
  <c r="I12" i="18" s="1"/>
  <c r="I5" i="19" s="1"/>
  <c r="J5" i="19"/>
  <c r="J14" i="18"/>
  <c r="J16" i="18" s="1"/>
  <c r="L5" i="19"/>
  <c r="L14" i="18"/>
  <c r="L16" i="18" s="1"/>
  <c r="M5" i="18"/>
  <c r="M7" i="18" s="1"/>
  <c r="M10" i="18" s="1"/>
  <c r="M12" i="18" s="1"/>
  <c r="I21" i="15"/>
  <c r="K17" i="18"/>
  <c r="K7" i="19" s="1"/>
  <c r="K18" i="18" l="1"/>
  <c r="I14" i="18"/>
  <c r="I16" i="18" s="1"/>
  <c r="I17" i="18" s="1"/>
  <c r="M14" i="18"/>
  <c r="M16" i="18" s="1"/>
  <c r="M5" i="19"/>
  <c r="L17" i="18"/>
  <c r="L7" i="19" s="1"/>
  <c r="J17" i="18"/>
  <c r="J7" i="19" s="1"/>
  <c r="I7" i="19" l="1"/>
  <c r="I18" i="18"/>
  <c r="H21" i="17" s="1"/>
  <c r="L18" i="18"/>
  <c r="J18" i="18"/>
  <c r="M17" i="18"/>
  <c r="M7" i="19" s="1"/>
  <c r="I21" i="17" l="1"/>
  <c r="I17" i="19"/>
  <c r="I19" i="19" s="1"/>
  <c r="H5" i="17" s="1"/>
  <c r="H12" i="17" s="1"/>
  <c r="M18" i="18"/>
  <c r="J17" i="19"/>
  <c r="J19" i="19" s="1"/>
  <c r="J21" i="17"/>
  <c r="K21" i="17" l="1"/>
  <c r="K17" i="19"/>
  <c r="K19" i="19" s="1"/>
  <c r="H25" i="17"/>
  <c r="I5" i="17"/>
  <c r="I12" i="17" s="1"/>
  <c r="J5" i="17" l="1"/>
  <c r="J12" i="17" s="1"/>
  <c r="I25" i="17"/>
  <c r="L17" i="19"/>
  <c r="L19" i="19" s="1"/>
  <c r="K5" i="17" l="1"/>
  <c r="J25" i="17"/>
  <c r="M17" i="19"/>
  <c r="M19" i="19" s="1"/>
  <c r="K12" i="17" l="1"/>
  <c r="K25" i="17" s="1"/>
</calcChain>
</file>

<file path=xl/sharedStrings.xml><?xml version="1.0" encoding="utf-8"?>
<sst xmlns="http://schemas.openxmlformats.org/spreadsheetml/2006/main" count="484" uniqueCount="158">
  <si>
    <t>Revenue SEO Campaigns</t>
  </si>
  <si>
    <t>Total Revenue</t>
  </si>
  <si>
    <t>Revenue Ad Campaigns</t>
  </si>
  <si>
    <t>Cost of Ads</t>
  </si>
  <si>
    <t>Cost of SEO Campaigns</t>
  </si>
  <si>
    <t>Gross Profit</t>
  </si>
  <si>
    <t>SG&amp;A</t>
  </si>
  <si>
    <t>EBITDA</t>
  </si>
  <si>
    <t>D&amp;A</t>
  </si>
  <si>
    <t>EBIT</t>
  </si>
  <si>
    <t>Interest Expenses</t>
  </si>
  <si>
    <t>EBT</t>
  </si>
  <si>
    <t>Taxes</t>
  </si>
  <si>
    <t>Net Income</t>
  </si>
  <si>
    <t>Q1</t>
  </si>
  <si>
    <t>Q2</t>
  </si>
  <si>
    <t>Q3</t>
  </si>
  <si>
    <t>Q4</t>
  </si>
  <si>
    <t>$ in 000s</t>
  </si>
  <si>
    <t>Balance Sheet</t>
  </si>
  <si>
    <t>Cash</t>
  </si>
  <si>
    <t>Trade Receivables</t>
  </si>
  <si>
    <t>Inventory</t>
  </si>
  <si>
    <t>Fixed Assets</t>
  </si>
  <si>
    <t>Trade Payables</t>
  </si>
  <si>
    <t>Other assets</t>
  </si>
  <si>
    <t>Financial Liabilities</t>
  </si>
  <si>
    <t>Equity</t>
  </si>
  <si>
    <t>Total Liabilities &amp; Equity</t>
  </si>
  <si>
    <t>Total Assets</t>
  </si>
  <si>
    <t>DSO</t>
  </si>
  <si>
    <t>DPO</t>
  </si>
  <si>
    <t>Change in Accounts Receivable</t>
  </si>
  <si>
    <t>Change in Other Assets</t>
  </si>
  <si>
    <t>Change in Trade Payables</t>
  </si>
  <si>
    <t>CAPEX</t>
  </si>
  <si>
    <t>Other Liabilities</t>
  </si>
  <si>
    <t>Change in Other Liabilities</t>
  </si>
  <si>
    <t>Change in Financial Liabilities</t>
  </si>
  <si>
    <t>Changes in Equity</t>
  </si>
  <si>
    <t>Net Cash Flow</t>
  </si>
  <si>
    <t>Beginning value of Fixed Assets</t>
  </si>
  <si>
    <t>Ending Value of Fixed Assets</t>
  </si>
  <si>
    <t>Client A</t>
  </si>
  <si>
    <t>Client B</t>
  </si>
  <si>
    <t>Client C</t>
  </si>
  <si>
    <t>Other</t>
  </si>
  <si>
    <t>Budget</t>
  </si>
  <si>
    <t>Number of SEO campaigns</t>
  </si>
  <si>
    <t>Total number of SEO campaigns</t>
  </si>
  <si>
    <t>Average revenue per SEO campaign</t>
  </si>
  <si>
    <t>Average revenue SEO campaigns</t>
  </si>
  <si>
    <t>Total revenue SEO campaigns</t>
  </si>
  <si>
    <t>Revenue: Bottom - Up</t>
  </si>
  <si>
    <t>Revenue: Top - Down</t>
  </si>
  <si>
    <t>Percentage of people using Internet</t>
  </si>
  <si>
    <t>Average revenue per internet user (in $)</t>
  </si>
  <si>
    <t>Number of Internet Users  (million people)</t>
  </si>
  <si>
    <t>Total Revenue Internet Industry (in million $)</t>
  </si>
  <si>
    <t>% spent on Agency fees</t>
  </si>
  <si>
    <t>Agency Revenue</t>
  </si>
  <si>
    <t>99 Agency Market Share</t>
  </si>
  <si>
    <t>Var% Y-o-Y</t>
  </si>
  <si>
    <t>99 Agency Revenue (in million $)</t>
  </si>
  <si>
    <t>Previous Year</t>
  </si>
  <si>
    <t>Y-o-Y Growth %</t>
  </si>
  <si>
    <t>Revenue SEO campaigns</t>
  </si>
  <si>
    <t>Last Year</t>
  </si>
  <si>
    <t>Cost of Sales - Ad Campaigns</t>
  </si>
  <si>
    <t>Cost of Sales - SEO Campaigns</t>
  </si>
  <si>
    <t>Average salary ($ in 000s)</t>
  </si>
  <si>
    <t>Cost of Ad Personnel</t>
  </si>
  <si>
    <t>in '000</t>
  </si>
  <si>
    <t>Average Cost per ad campaign</t>
  </si>
  <si>
    <t>Cost of Ad Campaigns</t>
  </si>
  <si>
    <t>Number of Ad Campaigns</t>
  </si>
  <si>
    <t>Cost of SEO Personnel</t>
  </si>
  <si>
    <t>Number of SEO Personnel</t>
  </si>
  <si>
    <t>Average Cost per SEO campaign</t>
  </si>
  <si>
    <t>Number of SEO Campaigns</t>
  </si>
  <si>
    <t>Office Rent</t>
  </si>
  <si>
    <t>Legal Fees</t>
  </si>
  <si>
    <t>External Services</t>
  </si>
  <si>
    <t>Administration</t>
  </si>
  <si>
    <t>Staff Training</t>
  </si>
  <si>
    <t>Last Year Actuals</t>
  </si>
  <si>
    <t>fixed fee</t>
  </si>
  <si>
    <t>Selling Commissions</t>
  </si>
  <si>
    <t>Accounting Services</t>
  </si>
  <si>
    <t>Management Salaries</t>
  </si>
  <si>
    <t>Total Revenues</t>
  </si>
  <si>
    <t>D&amp;A as a % of Beginning value of Fixed Assets</t>
  </si>
  <si>
    <t>Working Capital</t>
  </si>
  <si>
    <t>Cost of Sales</t>
  </si>
  <si>
    <t>DIO</t>
  </si>
  <si>
    <t>Income Statement</t>
  </si>
  <si>
    <t>Interest expenses</t>
  </si>
  <si>
    <t>Interest rate %</t>
  </si>
  <si>
    <t>hh</t>
  </si>
  <si>
    <t>Check</t>
  </si>
  <si>
    <t>Budget Templates ---&gt;</t>
  </si>
  <si>
    <t>FY 2020</t>
  </si>
  <si>
    <t>31Mar
2020</t>
  </si>
  <si>
    <t>30Jun
2020</t>
  </si>
  <si>
    <t>30Sep
2020</t>
  </si>
  <si>
    <t>31Dec
2020</t>
  </si>
  <si>
    <t>Bottom-up Approach</t>
  </si>
  <si>
    <t>Top-down Approach</t>
  </si>
  <si>
    <t>Revenue Budget</t>
  </si>
  <si>
    <t>Bottom-Up Approach</t>
  </si>
  <si>
    <t>Top-Down Approach</t>
  </si>
  <si>
    <t>Average Revenue Projection</t>
  </si>
  <si>
    <t>FY 2021</t>
  </si>
  <si>
    <t>FY21</t>
  </si>
  <si>
    <t>as a % of Revenue</t>
  </si>
  <si>
    <t>31Mar
2021</t>
  </si>
  <si>
    <t>30Jun
2021</t>
  </si>
  <si>
    <t>30Sep
2021</t>
  </si>
  <si>
    <t>31Dec
2021</t>
  </si>
  <si>
    <t>FY 21</t>
  </si>
  <si>
    <t>Interest Paid</t>
  </si>
  <si>
    <t>Taxes Paid</t>
  </si>
  <si>
    <t>Cash Flow Statement</t>
  </si>
  <si>
    <t>FY 2022</t>
  </si>
  <si>
    <t>FY22</t>
  </si>
  <si>
    <t>31Mar
2022</t>
  </si>
  <si>
    <t>30Jun
2022</t>
  </si>
  <si>
    <t>30Sep
2022</t>
  </si>
  <si>
    <t>31Dec
2022</t>
  </si>
  <si>
    <t>FY 22</t>
  </si>
  <si>
    <t>Changes in Equity (Dividend Payments, Increase in Equity)</t>
  </si>
  <si>
    <t>Annual Report---&gt;</t>
  </si>
  <si>
    <t>Interest Expense</t>
  </si>
  <si>
    <t>CAPEX as a % of Revenue</t>
  </si>
  <si>
    <t>Number of Ad campaigns</t>
  </si>
  <si>
    <t>Average revenue per Ad campaign</t>
  </si>
  <si>
    <t>Total number of Ad campaigns</t>
  </si>
  <si>
    <t>Average revenue Ad campaigns</t>
  </si>
  <si>
    <t>Total revenue Ad campaigns</t>
  </si>
  <si>
    <t>Revenue Ad campaigns</t>
  </si>
  <si>
    <t>Master Budget --&gt;</t>
  </si>
  <si>
    <t>Income Statement - Historical Numbers</t>
  </si>
  <si>
    <t>Balance Sheet - Historical Numbers</t>
  </si>
  <si>
    <t>Assumption</t>
  </si>
  <si>
    <t>Population (million people)</t>
  </si>
  <si>
    <t>Ad Campaings Revenue in 000s</t>
  </si>
  <si>
    <t>SEO Campaigns Revenue in 000s</t>
  </si>
  <si>
    <t>LEGEND:</t>
  </si>
  <si>
    <t>Link</t>
  </si>
  <si>
    <t>Formulas</t>
  </si>
  <si>
    <t>Historical Data</t>
  </si>
  <si>
    <t xml:space="preserve">Assumption </t>
  </si>
  <si>
    <t>Number of Ad Campaings Personnel</t>
  </si>
  <si>
    <t>Accounts/Trade Receivables</t>
  </si>
  <si>
    <t>Accounts/Trade Payables</t>
  </si>
  <si>
    <t>Liabilities</t>
  </si>
  <si>
    <t>Equity &amp; Stockholders</t>
  </si>
  <si>
    <t>Digital Agency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</si>
</sst>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£&quot;#,##0;[Red]\-&quot;£&quot;#,##0"/>
    <numFmt numFmtId="164" formatCode="_-* #,##0.00\ _л_в_._-;\-* #,##0.00\ _л_в_._-;_-* &quot;-&quot;??\ _л_в_._-;_-@_-"/>
    <numFmt numFmtId="165" formatCode="_-* #,##0\ _л_в_._-;\-* #,##0\ _л_в_._-;_-* &quot;-&quot;??\ _л_в_._-;_-@_-"/>
    <numFmt numFmtId="166" formatCode="0.0"/>
    <numFmt numFmtId="167" formatCode="_-* #,##0.0\ _л_в_._-;\-* #,##0.0\ _л_в_._-;_-* &quot;-&quot;??\ _л_в_._-;_-@_-"/>
    <numFmt numFmtId="168" formatCode="0.0%"/>
    <numFmt numFmtId="169" formatCode="_(* #,##0_);_(* \(#,##0\);_(* &quot;-&quot;?_);@_l"/>
    <numFmt numFmtId="170" formatCode="_(* #,##0.0_);_(* \(#,##0.0\);_(* &quot;-&quot;?_);@_l"/>
    <numFmt numFmtId="173" formatCode="[$€-413]\ #,##0.0"/>
    <numFmt numFmtId="174" formatCode="[$€-2]\ #,##0.0"/>
    <numFmt numFmtId="175" formatCode="[$€-2]\ #,##0.00;[Red]\-[$€-2]\ #,##0.00"/>
    <numFmt numFmtId="176" formatCode="[$€-2]\ #,##0"/>
    <numFmt numFmtId="177" formatCode="[$€-2]\ #,##0;\-[$€-2]\ #,##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rgb="FF00206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40"/>
      <color rgb="FF002060"/>
      <name val="Arial"/>
      <family val="2"/>
      <charset val="204"/>
    </font>
    <font>
      <sz val="9"/>
      <color rgb="FF00206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i/>
      <sz val="8"/>
      <color theme="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rgb="FF002060"/>
      <name val="Arial"/>
      <family val="2"/>
    </font>
    <font>
      <sz val="9"/>
      <color rgb="FF0070C0"/>
      <name val="Arial"/>
      <family val="2"/>
    </font>
    <font>
      <sz val="9"/>
      <color rgb="FF0070C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rgb="FF00B050"/>
      <name val="Arial"/>
      <family val="2"/>
    </font>
    <font>
      <b/>
      <sz val="40"/>
      <name val="Arial"/>
      <family val="2"/>
      <charset val="204"/>
    </font>
    <font>
      <sz val="9"/>
      <name val="Arial"/>
      <family val="2"/>
    </font>
    <font>
      <b/>
      <sz val="14"/>
      <color rgb="FF002060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rgb="FF002060"/>
      <name val="Arial"/>
      <family val="2"/>
      <charset val="204"/>
    </font>
    <font>
      <b/>
      <sz val="11"/>
      <color rgb="FF002060"/>
      <name val="Arial"/>
      <family val="2"/>
      <charset val="204"/>
    </font>
    <font>
      <sz val="9"/>
      <color rgb="FF00B050"/>
      <name val="Arial"/>
      <family val="2"/>
      <charset val="204"/>
    </font>
    <font>
      <b/>
      <sz val="9"/>
      <color rgb="FF00B050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11"/>
      <color rgb="FF00B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165" fontId="2" fillId="2" borderId="0" xfId="1" applyNumberFormat="1" applyFont="1" applyFill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2" fillId="2" borderId="0" xfId="0" applyNumberFormat="1" applyFont="1" applyFill="1"/>
    <xf numFmtId="0" fontId="8" fillId="2" borderId="0" xfId="0" applyFont="1" applyFill="1"/>
    <xf numFmtId="3" fontId="2" fillId="2" borderId="0" xfId="0" applyNumberFormat="1" applyFont="1" applyFill="1"/>
    <xf numFmtId="0" fontId="2" fillId="5" borderId="0" xfId="0" applyFont="1" applyFill="1"/>
    <xf numFmtId="0" fontId="7" fillId="2" borderId="0" xfId="0" applyFont="1" applyFill="1"/>
    <xf numFmtId="0" fontId="2" fillId="5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2" fillId="2" borderId="0" xfId="3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13" fillId="2" borderId="0" xfId="0" applyFont="1" applyFill="1"/>
    <xf numFmtId="0" fontId="6" fillId="2" borderId="0" xfId="0" applyFont="1" applyFill="1" applyAlignment="1">
      <alignment horizontal="center"/>
    </xf>
    <xf numFmtId="168" fontId="2" fillId="2" borderId="0" xfId="3" applyNumberFormat="1" applyFont="1" applyFill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/>
    </xf>
    <xf numFmtId="0" fontId="11" fillId="3" borderId="0" xfId="0" applyFont="1" applyFill="1"/>
    <xf numFmtId="168" fontId="11" fillId="3" borderId="0" xfId="3" applyNumberFormat="1" applyFont="1" applyFill="1" applyAlignment="1">
      <alignment horizontal="center"/>
    </xf>
    <xf numFmtId="0" fontId="4" fillId="3" borderId="1" xfId="0" applyFont="1" applyFill="1" applyBorder="1"/>
    <xf numFmtId="165" fontId="4" fillId="3" borderId="1" xfId="0" applyNumberFormat="1" applyFont="1" applyFill="1" applyBorder="1"/>
    <xf numFmtId="9" fontId="2" fillId="2" borderId="0" xfId="0" applyNumberFormat="1" applyFont="1" applyFill="1"/>
    <xf numFmtId="168" fontId="4" fillId="2" borderId="1" xfId="0" applyNumberFormat="1" applyFont="1" applyFill="1" applyBorder="1"/>
    <xf numFmtId="0" fontId="4" fillId="2" borderId="0" xfId="0" applyFont="1" applyFill="1"/>
    <xf numFmtId="168" fontId="4" fillId="2" borderId="0" xfId="0" applyNumberFormat="1" applyFont="1" applyFill="1"/>
    <xf numFmtId="0" fontId="6" fillId="2" borderId="4" xfId="0" applyFont="1" applyFill="1" applyBorder="1"/>
    <xf numFmtId="0" fontId="7" fillId="2" borderId="1" xfId="0" applyFont="1" applyFill="1" applyBorder="1"/>
    <xf numFmtId="169" fontId="14" fillId="2" borderId="0" xfId="0" applyNumberFormat="1" applyFont="1" applyFill="1"/>
    <xf numFmtId="170" fontId="14" fillId="2" borderId="0" xfId="0" applyNumberFormat="1" applyFont="1" applyFill="1"/>
    <xf numFmtId="169" fontId="4" fillId="2" borderId="1" xfId="0" applyNumberFormat="1" applyFont="1" applyFill="1" applyBorder="1"/>
    <xf numFmtId="169" fontId="4" fillId="2" borderId="0" xfId="0" applyNumberFormat="1" applyFont="1" applyFill="1" applyAlignment="1">
      <alignment horizontal="center"/>
    </xf>
    <xf numFmtId="169" fontId="6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wrapText="1"/>
    </xf>
    <xf numFmtId="0" fontId="15" fillId="2" borderId="0" xfId="0" applyFont="1" applyFill="1"/>
    <xf numFmtId="169" fontId="2" fillId="2" borderId="0" xfId="0" applyNumberFormat="1" applyFont="1" applyFill="1"/>
    <xf numFmtId="168" fontId="2" fillId="2" borderId="0" xfId="3" applyNumberFormat="1" applyFont="1" applyFill="1"/>
    <xf numFmtId="168" fontId="2" fillId="2" borderId="0" xfId="0" applyNumberFormat="1" applyFont="1" applyFill="1"/>
    <xf numFmtId="1" fontId="2" fillId="2" borderId="0" xfId="0" applyNumberFormat="1" applyFont="1" applyFill="1"/>
    <xf numFmtId="168" fontId="15" fillId="2" borderId="0" xfId="3" applyNumberFormat="1" applyFont="1" applyFill="1"/>
    <xf numFmtId="0" fontId="6" fillId="2" borderId="4" xfId="0" applyFont="1" applyFill="1" applyBorder="1" applyAlignment="1">
      <alignment horizontal="left"/>
    </xf>
    <xf numFmtId="0" fontId="12" fillId="2" borderId="0" xfId="0" applyFont="1" applyFill="1"/>
    <xf numFmtId="166" fontId="13" fillId="2" borderId="0" xfId="0" applyNumberFormat="1" applyFont="1" applyFill="1"/>
    <xf numFmtId="3" fontId="2" fillId="3" borderId="0" xfId="0" applyNumberFormat="1" applyFont="1" applyFill="1"/>
    <xf numFmtId="169" fontId="4" fillId="3" borderId="1" xfId="0" applyNumberFormat="1" applyFont="1" applyFill="1" applyBorder="1"/>
    <xf numFmtId="169" fontId="2" fillId="3" borderId="0" xfId="0" applyNumberFormat="1" applyFont="1" applyFill="1"/>
    <xf numFmtId="3" fontId="8" fillId="2" borderId="0" xfId="2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9" fontId="14" fillId="3" borderId="0" xfId="0" applyNumberFormat="1" applyFont="1" applyFill="1" applyAlignment="1">
      <alignment horizontal="right"/>
    </xf>
    <xf numFmtId="3" fontId="8" fillId="3" borderId="0" xfId="2" applyNumberFormat="1" applyFont="1" applyFill="1" applyAlignment="1">
      <alignment horizontal="right"/>
    </xf>
    <xf numFmtId="3" fontId="10" fillId="2" borderId="0" xfId="2" applyNumberFormat="1" applyFont="1" applyFill="1" applyAlignment="1">
      <alignment horizontal="right"/>
    </xf>
    <xf numFmtId="3" fontId="10" fillId="3" borderId="0" xfId="2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169" fontId="14" fillId="3" borderId="0" xfId="0" applyNumberFormat="1" applyFont="1" applyFill="1"/>
    <xf numFmtId="168" fontId="6" fillId="2" borderId="4" xfId="3" applyNumberFormat="1" applyFont="1" applyFill="1" applyBorder="1" applyAlignment="1">
      <alignment horizontal="right"/>
    </xf>
    <xf numFmtId="168" fontId="14" fillId="2" borderId="0" xfId="3" applyNumberFormat="1" applyFont="1" applyFill="1"/>
    <xf numFmtId="0" fontId="6" fillId="3" borderId="4" xfId="0" applyFont="1" applyFill="1" applyBorder="1" applyAlignment="1">
      <alignment horizontal="right"/>
    </xf>
    <xf numFmtId="0" fontId="6" fillId="2" borderId="5" xfId="0" applyFont="1" applyFill="1" applyBorder="1"/>
    <xf numFmtId="169" fontId="6" fillId="2" borderId="0" xfId="0" applyNumberFormat="1" applyFont="1" applyFill="1" applyAlignment="1">
      <alignment horizontal="right"/>
    </xf>
    <xf numFmtId="0" fontId="12" fillId="0" borderId="0" xfId="0" applyFont="1"/>
    <xf numFmtId="0" fontId="17" fillId="2" borderId="0" xfId="0" applyFont="1" applyFill="1"/>
    <xf numFmtId="0" fontId="18" fillId="2" borderId="4" xfId="0" applyFont="1" applyFill="1" applyBorder="1" applyAlignment="1">
      <alignment horizontal="right"/>
    </xf>
    <xf numFmtId="169" fontId="17" fillId="2" borderId="0" xfId="0" applyNumberFormat="1" applyFont="1" applyFill="1"/>
    <xf numFmtId="169" fontId="17" fillId="2" borderId="1" xfId="0" applyNumberFormat="1" applyFont="1" applyFill="1" applyBorder="1"/>
    <xf numFmtId="0" fontId="12" fillId="4" borderId="0" xfId="0" applyFont="1" applyFill="1" applyAlignment="1">
      <alignment horizontal="center"/>
    </xf>
    <xf numFmtId="169" fontId="19" fillId="2" borderId="0" xfId="0" applyNumberFormat="1" applyFont="1" applyFill="1"/>
    <xf numFmtId="3" fontId="19" fillId="2" borderId="0" xfId="0" applyNumberFormat="1" applyFont="1" applyFill="1"/>
    <xf numFmtId="0" fontId="19" fillId="2" borderId="0" xfId="0" applyFont="1" applyFill="1"/>
    <xf numFmtId="0" fontId="7" fillId="2" borderId="5" xfId="0" applyFont="1" applyFill="1" applyBorder="1"/>
    <xf numFmtId="169" fontId="7" fillId="2" borderId="5" xfId="0" applyNumberFormat="1" applyFont="1" applyFill="1" applyBorder="1" applyAlignment="1">
      <alignment horizontal="right"/>
    </xf>
    <xf numFmtId="169" fontId="7" fillId="3" borderId="5" xfId="0" applyNumberFormat="1" applyFont="1" applyFill="1" applyBorder="1" applyAlignment="1">
      <alignment horizontal="right"/>
    </xf>
    <xf numFmtId="3" fontId="20" fillId="2" borderId="0" xfId="2" applyNumberFormat="1" applyFont="1" applyFill="1" applyAlignment="1">
      <alignment horizontal="right"/>
    </xf>
    <xf numFmtId="3" fontId="19" fillId="2" borderId="0" xfId="2" applyNumberFormat="1" applyFont="1" applyFill="1" applyAlignment="1">
      <alignment horizontal="right"/>
    </xf>
    <xf numFmtId="0" fontId="21" fillId="2" borderId="0" xfId="0" applyFont="1" applyFill="1"/>
    <xf numFmtId="169" fontId="22" fillId="2" borderId="0" xfId="0" applyNumberFormat="1" applyFont="1" applyFill="1"/>
    <xf numFmtId="169" fontId="22" fillId="2" borderId="0" xfId="0" applyNumberFormat="1" applyFont="1" applyFill="1" applyAlignment="1">
      <alignment horizontal="right"/>
    </xf>
    <xf numFmtId="3" fontId="22" fillId="2" borderId="0" xfId="2" applyNumberFormat="1" applyFont="1" applyFill="1" applyAlignment="1">
      <alignment horizontal="right"/>
    </xf>
    <xf numFmtId="0" fontId="23" fillId="2" borderId="0" xfId="0" applyFont="1" applyFill="1"/>
    <xf numFmtId="0" fontId="2" fillId="0" borderId="0" xfId="0" applyFont="1" applyFill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1" fontId="2" fillId="0" borderId="8" xfId="0" applyNumberFormat="1" applyFont="1" applyFill="1" applyBorder="1"/>
    <xf numFmtId="0" fontId="2" fillId="0" borderId="9" xfId="0" applyFont="1" applyFill="1" applyBorder="1"/>
    <xf numFmtId="1" fontId="2" fillId="0" borderId="7" xfId="0" applyNumberFormat="1" applyFont="1" applyFill="1" applyBorder="1"/>
    <xf numFmtId="1" fontId="2" fillId="0" borderId="10" xfId="0" applyNumberFormat="1" applyFont="1" applyFill="1" applyBorder="1"/>
    <xf numFmtId="1" fontId="2" fillId="0" borderId="12" xfId="0" applyNumberFormat="1" applyFont="1" applyFill="1" applyBorder="1"/>
    <xf numFmtId="1" fontId="2" fillId="0" borderId="13" xfId="0" applyNumberFormat="1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" fontId="2" fillId="0" borderId="9" xfId="0" applyNumberFormat="1" applyFont="1" applyFill="1" applyBorder="1"/>
    <xf numFmtId="1" fontId="2" fillId="0" borderId="14" xfId="0" applyNumberFormat="1" applyFont="1" applyFill="1" applyBorder="1"/>
    <xf numFmtId="1" fontId="2" fillId="0" borderId="11" xfId="0" applyNumberFormat="1" applyFont="1" applyFill="1" applyBorder="1"/>
    <xf numFmtId="0" fontId="6" fillId="0" borderId="4" xfId="0" applyFont="1" applyFill="1" applyBorder="1" applyAlignment="1">
      <alignment horizontal="right"/>
    </xf>
    <xf numFmtId="169" fontId="22" fillId="0" borderId="0" xfId="0" applyNumberFormat="1" applyFont="1" applyFill="1"/>
    <xf numFmtId="169" fontId="14" fillId="0" borderId="0" xfId="0" applyNumberFormat="1" applyFont="1" applyFill="1"/>
    <xf numFmtId="169" fontId="22" fillId="0" borderId="0" xfId="0" applyNumberFormat="1" applyFont="1" applyFill="1" applyAlignment="1">
      <alignment horizontal="right"/>
    </xf>
    <xf numFmtId="3" fontId="22" fillId="0" borderId="0" xfId="2" applyNumberFormat="1" applyFont="1" applyFill="1" applyAlignment="1">
      <alignment horizontal="right"/>
    </xf>
    <xf numFmtId="3" fontId="10" fillId="0" borderId="0" xfId="2" applyNumberFormat="1" applyFont="1" applyFill="1" applyAlignment="1">
      <alignment horizontal="right"/>
    </xf>
    <xf numFmtId="169" fontId="7" fillId="0" borderId="5" xfId="0" applyNumberFormat="1" applyFont="1" applyFill="1" applyBorder="1" applyAlignment="1">
      <alignment horizontal="right"/>
    </xf>
    <xf numFmtId="165" fontId="7" fillId="2" borderId="0" xfId="0" applyNumberFormat="1" applyFont="1" applyFill="1" applyAlignment="1">
      <alignment horizontal="center"/>
    </xf>
    <xf numFmtId="168" fontId="7" fillId="2" borderId="2" xfId="3" applyNumberFormat="1" applyFont="1" applyFill="1" applyBorder="1"/>
    <xf numFmtId="168" fontId="7" fillId="2" borderId="0" xfId="3" applyNumberFormat="1" applyFont="1" applyFill="1" applyBorder="1" applyAlignment="1">
      <alignment horizontal="center"/>
    </xf>
    <xf numFmtId="167" fontId="7" fillId="2" borderId="0" xfId="0" applyNumberFormat="1" applyFont="1" applyFill="1" applyAlignment="1">
      <alignment horizontal="center"/>
    </xf>
    <xf numFmtId="170" fontId="19" fillId="2" borderId="0" xfId="0" applyNumberFormat="1" applyFont="1" applyFill="1"/>
    <xf numFmtId="169" fontId="24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" fillId="2" borderId="0" xfId="0" applyFont="1" applyFill="1" applyBorder="1"/>
    <xf numFmtId="0" fontId="2" fillId="2" borderId="15" xfId="0" applyFont="1" applyFill="1" applyBorder="1"/>
    <xf numFmtId="0" fontId="13" fillId="2" borderId="15" xfId="0" applyFont="1" applyFill="1" applyBorder="1"/>
    <xf numFmtId="0" fontId="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9" fontId="20" fillId="2" borderId="0" xfId="0" applyNumberFormat="1" applyFont="1" applyFill="1" applyBorder="1" applyAlignment="1">
      <alignment horizontal="center"/>
    </xf>
    <xf numFmtId="0" fontId="4" fillId="2" borderId="16" xfId="0" applyFont="1" applyFill="1" applyBorder="1"/>
    <xf numFmtId="168" fontId="20" fillId="2" borderId="0" xfId="0" applyNumberFormat="1" applyFont="1" applyFill="1" applyBorder="1" applyAlignment="1">
      <alignment horizontal="center"/>
    </xf>
    <xf numFmtId="6" fontId="20" fillId="2" borderId="0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173" fontId="19" fillId="2" borderId="0" xfId="0" applyNumberFormat="1" applyFont="1" applyFill="1"/>
    <xf numFmtId="173" fontId="14" fillId="3" borderId="0" xfId="0" applyNumberFormat="1" applyFont="1" applyFill="1"/>
    <xf numFmtId="173" fontId="7" fillId="2" borderId="5" xfId="0" applyNumberFormat="1" applyFont="1" applyFill="1" applyBorder="1" applyAlignment="1">
      <alignment horizontal="right"/>
    </xf>
    <xf numFmtId="174" fontId="14" fillId="2" borderId="0" xfId="0" applyNumberFormat="1" applyFont="1" applyFill="1"/>
    <xf numFmtId="174" fontId="14" fillId="3" borderId="0" xfId="0" applyNumberFormat="1" applyFont="1" applyFill="1"/>
    <xf numFmtId="174" fontId="7" fillId="2" borderId="5" xfId="0" applyNumberFormat="1" applyFont="1" applyFill="1" applyBorder="1" applyAlignment="1">
      <alignment horizontal="right"/>
    </xf>
    <xf numFmtId="174" fontId="7" fillId="3" borderId="5" xfId="0" applyNumberFormat="1" applyFont="1" applyFill="1" applyBorder="1" applyAlignment="1">
      <alignment horizontal="right"/>
    </xf>
    <xf numFmtId="174" fontId="19" fillId="2" borderId="0" xfId="0" applyNumberFormat="1" applyFont="1" applyFill="1"/>
    <xf numFmtId="175" fontId="19" fillId="2" borderId="0" xfId="0" applyNumberFormat="1" applyFont="1" applyFill="1"/>
    <xf numFmtId="175" fontId="14" fillId="3" borderId="0" xfId="0" applyNumberFormat="1" applyFont="1" applyFill="1"/>
    <xf numFmtId="175" fontId="7" fillId="2" borderId="5" xfId="0" applyNumberFormat="1" applyFont="1" applyFill="1" applyBorder="1" applyAlignment="1">
      <alignment horizontal="right"/>
    </xf>
    <xf numFmtId="175" fontId="7" fillId="3" borderId="5" xfId="0" applyNumberFormat="1" applyFont="1" applyFill="1" applyBorder="1" applyAlignment="1">
      <alignment horizontal="right"/>
    </xf>
    <xf numFmtId="176" fontId="14" fillId="2" borderId="0" xfId="0" applyNumberFormat="1" applyFont="1" applyFill="1"/>
    <xf numFmtId="176" fontId="14" fillId="3" borderId="0" xfId="0" applyNumberFormat="1" applyFont="1" applyFill="1"/>
    <xf numFmtId="176" fontId="7" fillId="2" borderId="5" xfId="0" applyNumberFormat="1" applyFont="1" applyFill="1" applyBorder="1" applyAlignment="1">
      <alignment horizontal="right"/>
    </xf>
    <xf numFmtId="176" fontId="7" fillId="3" borderId="5" xfId="0" applyNumberFormat="1" applyFont="1" applyFill="1" applyBorder="1" applyAlignment="1">
      <alignment horizontal="right"/>
    </xf>
    <xf numFmtId="173" fontId="4" fillId="2" borderId="1" xfId="0" applyNumberFormat="1" applyFont="1" applyFill="1" applyBorder="1" applyAlignment="1">
      <alignment horizontal="center"/>
    </xf>
    <xf numFmtId="165" fontId="30" fillId="2" borderId="0" xfId="0" applyNumberFormat="1" applyFont="1" applyFill="1" applyAlignment="1">
      <alignment horizontal="center"/>
    </xf>
    <xf numFmtId="177" fontId="30" fillId="2" borderId="0" xfId="0" applyNumberFormat="1" applyFont="1" applyFill="1" applyAlignment="1">
      <alignment horizontal="center"/>
    </xf>
    <xf numFmtId="0" fontId="11" fillId="0" borderId="0" xfId="0" applyFont="1" applyFill="1"/>
    <xf numFmtId="168" fontId="11" fillId="0" borderId="0" xfId="3" applyNumberFormat="1" applyFont="1" applyFill="1" applyAlignment="1">
      <alignment horizontal="center"/>
    </xf>
    <xf numFmtId="0" fontId="17" fillId="0" borderId="0" xfId="0" applyFont="1" applyFill="1"/>
    <xf numFmtId="9" fontId="30" fillId="6" borderId="0" xfId="0" applyNumberFormat="1" applyFont="1" applyFill="1"/>
    <xf numFmtId="169" fontId="7" fillId="2" borderId="0" xfId="0" applyNumberFormat="1" applyFont="1" applyFill="1" applyAlignment="1">
      <alignment horizontal="right"/>
    </xf>
    <xf numFmtId="169" fontId="31" fillId="2" borderId="5" xfId="0" applyNumberFormat="1" applyFont="1" applyFill="1" applyBorder="1" applyAlignment="1">
      <alignment horizontal="right"/>
    </xf>
    <xf numFmtId="3" fontId="30" fillId="2" borderId="0" xfId="0" applyNumberFormat="1" applyFont="1" applyFill="1"/>
    <xf numFmtId="0" fontId="30" fillId="2" borderId="0" xfId="0" applyFont="1" applyFill="1"/>
    <xf numFmtId="3" fontId="22" fillId="2" borderId="0" xfId="0" applyNumberFormat="1" applyFont="1" applyFill="1"/>
    <xf numFmtId="0" fontId="22" fillId="2" borderId="0" xfId="0" applyFont="1" applyFill="1"/>
    <xf numFmtId="0" fontId="32" fillId="2" borderId="0" xfId="0" applyFont="1" applyFill="1"/>
    <xf numFmtId="3" fontId="32" fillId="2" borderId="0" xfId="0" applyNumberFormat="1" applyFont="1" applyFill="1"/>
    <xf numFmtId="0" fontId="33" fillId="2" borderId="0" xfId="0" applyFont="1" applyFill="1"/>
    <xf numFmtId="0" fontId="16" fillId="3" borderId="0" xfId="0" applyFont="1" applyFill="1"/>
    <xf numFmtId="169" fontId="0" fillId="3" borderId="0" xfId="0" applyNumberFormat="1" applyFill="1"/>
    <xf numFmtId="0" fontId="0" fillId="3" borderId="0" xfId="0" applyFill="1"/>
    <xf numFmtId="3" fontId="30" fillId="2" borderId="0" xfId="2" applyNumberFormat="1" applyFont="1" applyFill="1" applyAlignment="1">
      <alignment horizontal="right"/>
    </xf>
    <xf numFmtId="0" fontId="2" fillId="2" borderId="0" xfId="0" applyFont="1" applyFill="1" applyAlignment="1">
      <alignment horizontal="left" indent="1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63500</xdr:rowOff>
    </xdr:from>
    <xdr:to>
      <xdr:col>6</xdr:col>
      <xdr:colOff>113030</xdr:colOff>
      <xdr:row>13</xdr:row>
      <xdr:rowOff>88900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CDDAC4C-47D3-4171-8C18-AE637C38297B}"/>
            </a:ext>
          </a:extLst>
        </xdr:cNvPr>
        <xdr:cNvSpPr/>
      </xdr:nvSpPr>
      <xdr:spPr>
        <a:xfrm>
          <a:off x="133350" y="497840"/>
          <a:ext cx="3279140" cy="1473200"/>
        </a:xfrm>
        <a:prstGeom prst="rect">
          <a:avLst/>
        </a:prstGeom>
        <a:solidFill>
          <a:schemeClr val="bg1">
            <a:lumMod val="95000"/>
            <a:alpha val="79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381000</xdr:colOff>
      <xdr:row>6</xdr:row>
      <xdr:rowOff>139700</xdr:rowOff>
    </xdr:from>
    <xdr:to>
      <xdr:col>5</xdr:col>
      <xdr:colOff>601980</xdr:colOff>
      <xdr:row>9</xdr:row>
      <xdr:rowOff>92646</xdr:rowOff>
    </xdr:to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7AAAE275-53B3-4FA3-AB63-A7B766A81639}"/>
            </a:ext>
          </a:extLst>
        </xdr:cNvPr>
        <xdr:cNvSpPr txBox="1"/>
      </xdr:nvSpPr>
      <xdr:spPr>
        <a:xfrm>
          <a:off x="518160" y="1008380"/>
          <a:ext cx="2750820" cy="387286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 i="1">
              <a:solidFill>
                <a:srgbClr val="002060"/>
              </a:solidFill>
              <a:effectLst>
                <a:outerShdw blurRad="50800" dist="50800" dir="5400000" algn="ctr" rotWithShape="0">
                  <a:srgbClr val="000000">
                    <a:alpha val="1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About</a:t>
          </a:r>
          <a:r>
            <a:rPr lang="en-US" sz="2000" b="1" i="1" baseline="0">
              <a:solidFill>
                <a:srgbClr val="002060"/>
              </a:solidFill>
              <a:effectLst>
                <a:outerShdw blurRad="50800" dist="50800" dir="5400000" algn="ctr" rotWithShape="0">
                  <a:srgbClr val="000000">
                    <a:alpha val="1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the Company</a:t>
          </a:r>
          <a:endParaRPr lang="en-US" sz="2000" b="1" i="1">
            <a:solidFill>
              <a:srgbClr val="002060"/>
            </a:solidFill>
            <a:effectLst>
              <a:outerShdw blurRad="50800" dist="50800" dir="5400000" algn="ctr" rotWithShape="0">
                <a:srgbClr val="000000">
                  <a:alpha val="10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548640</xdr:colOff>
      <xdr:row>15</xdr:row>
      <xdr:rowOff>72390</xdr:rowOff>
    </xdr:from>
    <xdr:to>
      <xdr:col>14</xdr:col>
      <xdr:colOff>472440</xdr:colOff>
      <xdr:row>19</xdr:row>
      <xdr:rowOff>15240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22B6DB-E7EB-4DAD-95BB-FA208CA83691}"/>
            </a:ext>
          </a:extLst>
        </xdr:cNvPr>
        <xdr:cNvSpPr txBox="1"/>
      </xdr:nvSpPr>
      <xdr:spPr>
        <a:xfrm>
          <a:off x="4480560" y="2244090"/>
          <a:ext cx="4351020" cy="1017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1. Digital Agency</a:t>
          </a:r>
        </a:p>
        <a:p>
          <a:r>
            <a:rPr lang="pt-BR" sz="1100"/>
            <a:t>2.</a:t>
          </a:r>
          <a:r>
            <a:rPr lang="pt-BR" sz="1100" baseline="0"/>
            <a:t>  Products categories: SEO campaigns, and  Ad campaings.</a:t>
          </a:r>
        </a:p>
        <a:p>
          <a:r>
            <a:rPr lang="pt-BR" sz="1100" baseline="0"/>
            <a:t>3. Clients: small, medium and large enterprises</a:t>
          </a:r>
        </a:p>
        <a:p>
          <a:r>
            <a:rPr lang="pt-BR" sz="1100" baseline="0"/>
            <a:t>4. Company has 18% market share in its coutry operations</a:t>
          </a:r>
        </a:p>
      </xdr:txBody>
    </xdr:sp>
    <xdr:clientData/>
  </xdr:twoCellAnchor>
  <xdr:twoCellAnchor>
    <xdr:from>
      <xdr:col>15</xdr:col>
      <xdr:colOff>251460</xdr:colOff>
      <xdr:row>15</xdr:row>
      <xdr:rowOff>87630</xdr:rowOff>
    </xdr:from>
    <xdr:to>
      <xdr:col>22</xdr:col>
      <xdr:colOff>175260</xdr:colOff>
      <xdr:row>19</xdr:row>
      <xdr:rowOff>30480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9FEE0F-AAD9-41FF-B5A2-D03F1D2EC71E}"/>
            </a:ext>
          </a:extLst>
        </xdr:cNvPr>
        <xdr:cNvSpPr txBox="1"/>
      </xdr:nvSpPr>
      <xdr:spPr>
        <a:xfrm>
          <a:off x="9243060" y="2259330"/>
          <a:ext cx="4351020" cy="1017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aseline="0"/>
            <a:t>Operations:</a:t>
          </a:r>
          <a:br>
            <a:rPr lang="pt-BR" sz="1100" baseline="0"/>
          </a:br>
          <a:r>
            <a:rPr lang="pt-BR" sz="1100" baseline="0"/>
            <a:t>1.  Population: over 60 million</a:t>
          </a:r>
        </a:p>
        <a:p>
          <a:r>
            <a:rPr lang="pt-BR" sz="1100" baseline="0"/>
            <a:t>2. Percentage of internet users: 70%</a:t>
          </a:r>
        </a:p>
        <a:p>
          <a:r>
            <a:rPr lang="pt-BR" sz="1100" baseline="0"/>
            <a:t>3. Average revenue per user: $ 540</a:t>
          </a:r>
          <a:br>
            <a:rPr lang="pt-BR" sz="1100" baseline="0"/>
          </a:br>
          <a:r>
            <a:rPr lang="pt-BR" sz="1100" baseline="0"/>
            <a:t>4. Agency fees comissions: 3.5%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0</xdr:row>
      <xdr:rowOff>148590</xdr:rowOff>
    </xdr:from>
    <xdr:to>
      <xdr:col>19</xdr:col>
      <xdr:colOff>175260</xdr:colOff>
      <xdr:row>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B3FBBD-3493-D269-8604-E60CE586FAF8}"/>
            </a:ext>
          </a:extLst>
        </xdr:cNvPr>
        <xdr:cNvSpPr txBox="1"/>
      </xdr:nvSpPr>
      <xdr:spPr>
        <a:xfrm>
          <a:off x="9555480" y="148590"/>
          <a:ext cx="3223260" cy="506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The</a:t>
          </a:r>
          <a:r>
            <a:rPr lang="pt-BR" sz="1100" baseline="0"/>
            <a:t> Assumption is based on the sales` team projected growth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U17"/>
  <sheetViews>
    <sheetView topLeftCell="A5" workbookViewId="0">
      <selection activeCell="E38" sqref="E38"/>
    </sheetView>
  </sheetViews>
  <sheetFormatPr defaultColWidth="9.21875" defaultRowHeight="11.4" x14ac:dyDescent="0.2"/>
  <cols>
    <col min="1" max="1" width="2" style="2" customWidth="1"/>
    <col min="2" max="20" width="9.21875" style="2"/>
    <col min="21" max="21" width="11.33203125" style="2" bestFit="1" customWidth="1"/>
    <col min="22" max="16384" width="9.21875" style="2"/>
  </cols>
  <sheetData>
    <row r="5" spans="19:21" x14ac:dyDescent="0.2">
      <c r="S5" s="6" t="s">
        <v>147</v>
      </c>
      <c r="T5" s="129"/>
      <c r="U5" s="6" t="s">
        <v>150</v>
      </c>
    </row>
    <row r="6" spans="19:21" x14ac:dyDescent="0.2">
      <c r="S6" s="6"/>
      <c r="T6" s="130"/>
      <c r="U6" s="6" t="s">
        <v>149</v>
      </c>
    </row>
    <row r="7" spans="19:21" x14ac:dyDescent="0.2">
      <c r="S7" s="6"/>
      <c r="T7" s="131"/>
      <c r="U7" s="6" t="s">
        <v>148</v>
      </c>
    </row>
    <row r="17" spans="2:2" s="10" customFormat="1" ht="50.4" x14ac:dyDescent="0.85">
      <c r="B17" s="87" t="s">
        <v>157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7"/>
  <sheetViews>
    <sheetView topLeftCell="A5" workbookViewId="0">
      <selection activeCell="E38" sqref="E38"/>
    </sheetView>
  </sheetViews>
  <sheetFormatPr defaultColWidth="9.109375" defaultRowHeight="14.4" x14ac:dyDescent="0.3"/>
  <cols>
    <col min="1" max="1" width="2.33203125" style="1" customWidth="1"/>
    <col min="2" max="16384" width="9.109375" style="1"/>
  </cols>
  <sheetData>
    <row r="17" spans="2:2" ht="50.4" x14ac:dyDescent="0.85">
      <c r="B17" s="7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9"/>
  <sheetViews>
    <sheetView workbookViewId="0">
      <selection activeCell="B1" sqref="B1"/>
    </sheetView>
  </sheetViews>
  <sheetFormatPr defaultColWidth="9.109375" defaultRowHeight="11.4" x14ac:dyDescent="0.2"/>
  <cols>
    <col min="1" max="1" width="2" style="2" customWidth="1"/>
    <col min="2" max="2" width="22.109375" style="2" bestFit="1" customWidth="1"/>
    <col min="3" max="6" width="11.109375" style="2" customWidth="1"/>
    <col min="7" max="7" width="10.5546875" style="2" customWidth="1"/>
    <col min="8" max="12" width="11.109375" style="2" customWidth="1"/>
    <col min="13" max="16384" width="9.109375" style="2"/>
  </cols>
  <sheetData>
    <row r="1" spans="2:13" ht="15.6" x14ac:dyDescent="0.3">
      <c r="B1" s="3" t="s">
        <v>141</v>
      </c>
      <c r="C1" s="3"/>
      <c r="D1" s="3"/>
      <c r="E1" s="3"/>
      <c r="F1" s="3"/>
    </row>
    <row r="4" spans="2:13" ht="12.6" thickBot="1" x14ac:dyDescent="0.3">
      <c r="B4" s="33" t="s">
        <v>18</v>
      </c>
      <c r="C4" s="41" t="s">
        <v>14</v>
      </c>
      <c r="D4" s="41" t="s">
        <v>15</v>
      </c>
      <c r="E4" s="41" t="s">
        <v>16</v>
      </c>
      <c r="F4" s="41" t="s">
        <v>17</v>
      </c>
      <c r="G4" s="66" t="s">
        <v>101</v>
      </c>
      <c r="H4" s="41" t="s">
        <v>14</v>
      </c>
      <c r="I4" s="41" t="s">
        <v>15</v>
      </c>
      <c r="J4" s="41" t="s">
        <v>16</v>
      </c>
      <c r="K4" s="41" t="s">
        <v>17</v>
      </c>
      <c r="L4" s="66" t="s">
        <v>112</v>
      </c>
      <c r="M4" s="62"/>
    </row>
    <row r="5" spans="2:13" x14ac:dyDescent="0.2">
      <c r="B5" s="2" t="s">
        <v>2</v>
      </c>
      <c r="C5" s="75">
        <v>13794</v>
      </c>
      <c r="D5" s="75">
        <v>16528</v>
      </c>
      <c r="E5" s="75">
        <v>13674</v>
      </c>
      <c r="F5" s="75">
        <v>19418</v>
      </c>
      <c r="G5" s="63">
        <f>SUM(C5:F5)</f>
        <v>63414</v>
      </c>
      <c r="H5" s="77">
        <v>16413</v>
      </c>
      <c r="I5" s="75">
        <v>18926</v>
      </c>
      <c r="J5" s="75">
        <v>16498</v>
      </c>
      <c r="K5" s="75">
        <v>21432</v>
      </c>
      <c r="L5" s="63">
        <f>SUM(H5:K5)</f>
        <v>73269</v>
      </c>
      <c r="M5" s="35"/>
    </row>
    <row r="6" spans="2:13" x14ac:dyDescent="0.2">
      <c r="B6" s="2" t="s">
        <v>0</v>
      </c>
      <c r="C6" s="76">
        <v>6682</v>
      </c>
      <c r="D6" s="76">
        <v>8140</v>
      </c>
      <c r="E6" s="76">
        <v>5231</v>
      </c>
      <c r="F6" s="76">
        <v>8091</v>
      </c>
      <c r="G6" s="52">
        <f>SUM(C6:F6)</f>
        <v>28144</v>
      </c>
      <c r="H6" s="76">
        <v>6177</v>
      </c>
      <c r="I6" s="76">
        <v>7460</v>
      </c>
      <c r="J6" s="76">
        <v>5803</v>
      </c>
      <c r="K6" s="76">
        <v>9023</v>
      </c>
      <c r="L6" s="52">
        <f>SUM(H6:K6)</f>
        <v>28463</v>
      </c>
    </row>
    <row r="7" spans="2:13" ht="12" x14ac:dyDescent="0.25">
      <c r="B7" s="34" t="s">
        <v>1</v>
      </c>
      <c r="C7" s="37">
        <f>SUM(C5:C6)</f>
        <v>20476</v>
      </c>
      <c r="D7" s="37">
        <f t="shared" ref="D7:F7" si="0">SUM(D5:D6)</f>
        <v>24668</v>
      </c>
      <c r="E7" s="37">
        <f t="shared" si="0"/>
        <v>18905</v>
      </c>
      <c r="F7" s="37">
        <f t="shared" si="0"/>
        <v>27509</v>
      </c>
      <c r="G7" s="53">
        <f>SUM(G5:G6)</f>
        <v>91558</v>
      </c>
      <c r="H7" s="37">
        <f>SUM(H5:H6)</f>
        <v>22590</v>
      </c>
      <c r="I7" s="37">
        <f t="shared" ref="I7" si="1">SUM(I5:I6)</f>
        <v>26386</v>
      </c>
      <c r="J7" s="37">
        <f t="shared" ref="J7" si="2">SUM(J5:J6)</f>
        <v>22301</v>
      </c>
      <c r="K7" s="37">
        <f t="shared" ref="K7" si="3">SUM(K5:K6)</f>
        <v>30455</v>
      </c>
      <c r="L7" s="53">
        <f>SUM(L5:L6)</f>
        <v>101732</v>
      </c>
    </row>
    <row r="8" spans="2:13" x14ac:dyDescent="0.2">
      <c r="B8" s="2" t="s">
        <v>3</v>
      </c>
      <c r="C8" s="75">
        <v>-7306</v>
      </c>
      <c r="D8" s="75">
        <v>-8278</v>
      </c>
      <c r="E8" s="75">
        <v>-7199</v>
      </c>
      <c r="F8" s="75">
        <v>-10851</v>
      </c>
      <c r="G8" s="54">
        <f t="shared" ref="G8:G9" si="4">SUM(C8:F8)</f>
        <v>-33634</v>
      </c>
      <c r="H8" s="75">
        <v>-8816</v>
      </c>
      <c r="I8" s="75">
        <v>-10273</v>
      </c>
      <c r="J8" s="75">
        <v>-9390</v>
      </c>
      <c r="K8" s="75">
        <v>-12034</v>
      </c>
      <c r="L8" s="54">
        <f t="shared" ref="L8:L9" si="5">SUM(H8:K8)</f>
        <v>-40513</v>
      </c>
    </row>
    <row r="9" spans="2:13" x14ac:dyDescent="0.2">
      <c r="B9" s="2" t="s">
        <v>4</v>
      </c>
      <c r="C9" s="75">
        <v>-4545</v>
      </c>
      <c r="D9" s="75">
        <v>-5507</v>
      </c>
      <c r="E9" s="75">
        <v>-3819</v>
      </c>
      <c r="F9" s="75">
        <f>-4934</f>
        <v>-4934</v>
      </c>
      <c r="G9" s="54">
        <f t="shared" si="4"/>
        <v>-18805</v>
      </c>
      <c r="H9" s="75">
        <v>-3777</v>
      </c>
      <c r="I9" s="75">
        <v>-4544</v>
      </c>
      <c r="J9" s="75">
        <v>-4263</v>
      </c>
      <c r="K9" s="75">
        <v>-6034</v>
      </c>
      <c r="L9" s="54">
        <f t="shared" si="5"/>
        <v>-18618</v>
      </c>
    </row>
    <row r="10" spans="2:13" ht="12" x14ac:dyDescent="0.25">
      <c r="B10" s="34" t="s">
        <v>5</v>
      </c>
      <c r="C10" s="37">
        <f>SUM(C7:C9)</f>
        <v>8625</v>
      </c>
      <c r="D10" s="37">
        <f t="shared" ref="D10:F10" si="6">SUM(D7:D9)</f>
        <v>10883</v>
      </c>
      <c r="E10" s="37">
        <f t="shared" si="6"/>
        <v>7887</v>
      </c>
      <c r="F10" s="37">
        <f t="shared" si="6"/>
        <v>11724</v>
      </c>
      <c r="G10" s="53">
        <f>SUM(G7:G9)</f>
        <v>39119</v>
      </c>
      <c r="H10" s="37">
        <f>SUM(H7:H9)</f>
        <v>9997</v>
      </c>
      <c r="I10" s="37">
        <f t="shared" ref="I10" si="7">SUM(I7:I9)</f>
        <v>11569</v>
      </c>
      <c r="J10" s="37">
        <f t="shared" ref="J10" si="8">SUM(J7:J9)</f>
        <v>8648</v>
      </c>
      <c r="K10" s="37">
        <f t="shared" ref="K10" si="9">SUM(K7:K9)</f>
        <v>12387</v>
      </c>
      <c r="L10" s="53">
        <f>SUM(L7:L9)</f>
        <v>42601</v>
      </c>
    </row>
    <row r="11" spans="2:13" x14ac:dyDescent="0.2">
      <c r="B11" s="2" t="s">
        <v>6</v>
      </c>
      <c r="C11" s="75">
        <v>-5171</v>
      </c>
      <c r="D11" s="75">
        <v>-5507</v>
      </c>
      <c r="E11" s="75">
        <v>-5390</v>
      </c>
      <c r="F11" s="75">
        <v>-6579</v>
      </c>
      <c r="G11" s="54">
        <f>SUM(C11:F11)</f>
        <v>-22647</v>
      </c>
      <c r="H11" s="75">
        <v>-5696</v>
      </c>
      <c r="I11" s="75">
        <v>-5498</v>
      </c>
      <c r="J11" s="75">
        <v>-5640</v>
      </c>
      <c r="K11" s="75">
        <v>-6231</v>
      </c>
      <c r="L11" s="54">
        <f>SUM(H11:K11)</f>
        <v>-23065</v>
      </c>
    </row>
    <row r="12" spans="2:13" ht="12" x14ac:dyDescent="0.25">
      <c r="B12" s="34" t="s">
        <v>7</v>
      </c>
      <c r="C12" s="37">
        <f>SUM(C10:C11)</f>
        <v>3454</v>
      </c>
      <c r="D12" s="37">
        <f t="shared" ref="D12:F12" si="10">SUM(D10:D11)</f>
        <v>5376</v>
      </c>
      <c r="E12" s="37">
        <f t="shared" si="10"/>
        <v>2497</v>
      </c>
      <c r="F12" s="37">
        <f t="shared" si="10"/>
        <v>5145</v>
      </c>
      <c r="G12" s="53">
        <f>SUM(G10:G11)</f>
        <v>16472</v>
      </c>
      <c r="H12" s="37">
        <f>SUM(H10:H11)</f>
        <v>4301</v>
      </c>
      <c r="I12" s="37">
        <f t="shared" ref="I12" si="11">SUM(I10:I11)</f>
        <v>6071</v>
      </c>
      <c r="J12" s="37">
        <f t="shared" ref="J12" si="12">SUM(J10:J11)</f>
        <v>3008</v>
      </c>
      <c r="K12" s="37">
        <f t="shared" ref="K12" si="13">SUM(K10:K11)</f>
        <v>6156</v>
      </c>
      <c r="L12" s="53">
        <f>SUM(L10:L11)</f>
        <v>19536</v>
      </c>
    </row>
    <row r="13" spans="2:13" x14ac:dyDescent="0.2">
      <c r="B13" s="2" t="s">
        <v>8</v>
      </c>
      <c r="C13" s="75">
        <v>-82</v>
      </c>
      <c r="D13" s="75">
        <v>-81</v>
      </c>
      <c r="E13" s="75">
        <v>-83</v>
      </c>
      <c r="F13" s="75">
        <v>-89</v>
      </c>
      <c r="G13" s="54">
        <f>SUM(C13:F13)</f>
        <v>-335</v>
      </c>
      <c r="H13" s="75">
        <v>-85</v>
      </c>
      <c r="I13" s="75">
        <v>-85</v>
      </c>
      <c r="J13" s="75">
        <v>-85</v>
      </c>
      <c r="K13" s="75">
        <v>-85</v>
      </c>
      <c r="L13" s="54">
        <f>SUM(H13:K13)</f>
        <v>-340</v>
      </c>
    </row>
    <row r="14" spans="2:13" ht="12" x14ac:dyDescent="0.25">
      <c r="B14" s="34" t="s">
        <v>9</v>
      </c>
      <c r="C14" s="37">
        <f>SUM(C12:C13)</f>
        <v>3372</v>
      </c>
      <c r="D14" s="37">
        <f t="shared" ref="D14:F14" si="14">SUM(D12:D13)</f>
        <v>5295</v>
      </c>
      <c r="E14" s="37">
        <f t="shared" si="14"/>
        <v>2414</v>
      </c>
      <c r="F14" s="37">
        <f t="shared" si="14"/>
        <v>5056</v>
      </c>
      <c r="G14" s="53">
        <f>+SUM(G12:G13)</f>
        <v>16137</v>
      </c>
      <c r="H14" s="37">
        <f>SUM(H12:H13)</f>
        <v>4216</v>
      </c>
      <c r="I14" s="37">
        <f t="shared" ref="I14" si="15">SUM(I12:I13)</f>
        <v>5986</v>
      </c>
      <c r="J14" s="37">
        <f t="shared" ref="J14" si="16">SUM(J12:J13)</f>
        <v>2923</v>
      </c>
      <c r="K14" s="37">
        <f t="shared" ref="K14" si="17">SUM(K12:K13)</f>
        <v>6071</v>
      </c>
      <c r="L14" s="53">
        <f>+SUM(L12:L13)</f>
        <v>19196</v>
      </c>
    </row>
    <row r="15" spans="2:13" x14ac:dyDescent="0.2">
      <c r="B15" s="2" t="s">
        <v>132</v>
      </c>
      <c r="C15" s="75">
        <v>-120</v>
      </c>
      <c r="D15" s="75">
        <v>-120</v>
      </c>
      <c r="E15" s="75">
        <v>-120</v>
      </c>
      <c r="F15" s="75">
        <v>-120</v>
      </c>
      <c r="G15" s="54">
        <f>SUM(C15:F15)</f>
        <v>-480</v>
      </c>
      <c r="H15" s="75">
        <v>-234</v>
      </c>
      <c r="I15" s="75">
        <v>-234</v>
      </c>
      <c r="J15" s="75">
        <v>-234</v>
      </c>
      <c r="K15" s="75">
        <v>-234</v>
      </c>
      <c r="L15" s="54">
        <f>SUM(H15:K15)</f>
        <v>-936</v>
      </c>
    </row>
    <row r="16" spans="2:13" ht="12" x14ac:dyDescent="0.25">
      <c r="B16" s="34" t="s">
        <v>11</v>
      </c>
      <c r="C16" s="37">
        <f>SUM(C14:C15)</f>
        <v>3252</v>
      </c>
      <c r="D16" s="37">
        <f t="shared" ref="D16:F16" si="18">SUM(D14:D15)</f>
        <v>5175</v>
      </c>
      <c r="E16" s="37">
        <f t="shared" si="18"/>
        <v>2294</v>
      </c>
      <c r="F16" s="37">
        <f t="shared" si="18"/>
        <v>4936</v>
      </c>
      <c r="G16" s="53">
        <f>SUM(G14:G15)</f>
        <v>15657</v>
      </c>
      <c r="H16" s="37">
        <f>SUM(H14:H15)</f>
        <v>3982</v>
      </c>
      <c r="I16" s="37">
        <f t="shared" ref="I16" si="19">SUM(I14:I15)</f>
        <v>5752</v>
      </c>
      <c r="J16" s="37">
        <f t="shared" ref="J16" si="20">SUM(J14:J15)</f>
        <v>2689</v>
      </c>
      <c r="K16" s="37">
        <f t="shared" ref="K16" si="21">SUM(K14:K15)</f>
        <v>5837</v>
      </c>
      <c r="L16" s="53">
        <f>SUM(L14:L15)</f>
        <v>18260</v>
      </c>
    </row>
    <row r="17" spans="2:12" x14ac:dyDescent="0.2">
      <c r="B17" s="2" t="s">
        <v>12</v>
      </c>
      <c r="C17" s="35">
        <f>-C16*0.1</f>
        <v>-325.20000000000005</v>
      </c>
      <c r="D17" s="35">
        <f t="shared" ref="D17:F17" si="22">-D16*0.1</f>
        <v>-517.5</v>
      </c>
      <c r="E17" s="35">
        <f t="shared" si="22"/>
        <v>-229.4</v>
      </c>
      <c r="F17" s="35">
        <f t="shared" si="22"/>
        <v>-493.6</v>
      </c>
      <c r="G17" s="54">
        <f>SUM(C17:F17)</f>
        <v>-1565.7000000000003</v>
      </c>
      <c r="H17" s="35">
        <f>-H16*0.1</f>
        <v>-398.20000000000005</v>
      </c>
      <c r="I17" s="35">
        <f t="shared" ref="I17" si="23">-I16*0.1</f>
        <v>-575.20000000000005</v>
      </c>
      <c r="J17" s="35">
        <f t="shared" ref="J17" si="24">-J16*0.1</f>
        <v>-268.90000000000003</v>
      </c>
      <c r="K17" s="35">
        <f t="shared" ref="K17" si="25">-K16*0.1</f>
        <v>-583.70000000000005</v>
      </c>
      <c r="L17" s="54">
        <f>SUM(H17:K17)</f>
        <v>-1826.0000000000002</v>
      </c>
    </row>
    <row r="18" spans="2:12" s="10" customFormat="1" ht="12.6" thickBot="1" x14ac:dyDescent="0.3">
      <c r="B18" s="78" t="s">
        <v>13</v>
      </c>
      <c r="C18" s="79">
        <f>SUM(C16:C17)</f>
        <v>2926.8</v>
      </c>
      <c r="D18" s="79">
        <f t="shared" ref="D18:F18" si="26">SUM(D16:D17)</f>
        <v>4657.5</v>
      </c>
      <c r="E18" s="79">
        <f t="shared" si="26"/>
        <v>2064.6</v>
      </c>
      <c r="F18" s="79">
        <f t="shared" si="26"/>
        <v>4442.3999999999996</v>
      </c>
      <c r="G18" s="80">
        <f>SUM(G16:G17)</f>
        <v>14091.3</v>
      </c>
      <c r="H18" s="79">
        <f>SUM(H16:H17)</f>
        <v>3583.8</v>
      </c>
      <c r="I18" s="79">
        <f t="shared" ref="I18" si="27">SUM(I16:I17)</f>
        <v>5176.8</v>
      </c>
      <c r="J18" s="79">
        <f t="shared" ref="J18" si="28">SUM(J16:J17)</f>
        <v>2420.1</v>
      </c>
      <c r="K18" s="79">
        <f t="shared" ref="K18" si="29">SUM(K16:K17)</f>
        <v>5253.3</v>
      </c>
      <c r="L18" s="80">
        <f>SUM(L16:L17)</f>
        <v>16434</v>
      </c>
    </row>
    <row r="19" spans="2:12" x14ac:dyDescent="0.2">
      <c r="G19" s="5"/>
    </row>
  </sheetData>
  <sheetProtection algorithmName="SHA-512" hashValue="GAJVvMwZq5ngBh9SlRMGZCoM4Dqcw7WLHiPGBc8FUI/0VblifaCqYFNzQpttXeqn4NZimDeq5hCTfk4l9o1aoQ==" saltValue="vDCyqJEfveNdTRmUKZy8M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showGridLines="0" workbookViewId="0">
      <selection activeCell="B1" sqref="B1"/>
    </sheetView>
  </sheetViews>
  <sheetFormatPr defaultColWidth="9.109375" defaultRowHeight="11.4" x14ac:dyDescent="0.2"/>
  <cols>
    <col min="1" max="1" width="2" style="2" customWidth="1"/>
    <col min="2" max="2" width="19.88671875" style="2" bestFit="1" customWidth="1"/>
    <col min="3" max="16384" width="9.109375" style="2"/>
  </cols>
  <sheetData>
    <row r="1" spans="2:10" ht="15.6" x14ac:dyDescent="0.3">
      <c r="B1" s="3" t="s">
        <v>142</v>
      </c>
    </row>
    <row r="5" spans="2:10" ht="24.6" thickBot="1" x14ac:dyDescent="0.3">
      <c r="B5" s="33" t="s">
        <v>18</v>
      </c>
      <c r="C5" s="42" t="s">
        <v>102</v>
      </c>
      <c r="D5" s="42" t="s">
        <v>103</v>
      </c>
      <c r="E5" s="42" t="s">
        <v>104</v>
      </c>
      <c r="F5" s="42" t="s">
        <v>105</v>
      </c>
      <c r="G5" s="42" t="s">
        <v>115</v>
      </c>
      <c r="H5" s="42" t="s">
        <v>116</v>
      </c>
      <c r="I5" s="42" t="s">
        <v>117</v>
      </c>
      <c r="J5" s="42" t="s">
        <v>118</v>
      </c>
    </row>
    <row r="6" spans="2:10" x14ac:dyDescent="0.2">
      <c r="B6" s="2" t="s">
        <v>20</v>
      </c>
      <c r="C6" s="75">
        <v>413.82</v>
      </c>
      <c r="D6" s="75">
        <v>495.84</v>
      </c>
      <c r="E6" s="75">
        <v>410.21999999999997</v>
      </c>
      <c r="F6" s="75">
        <v>582.54</v>
      </c>
      <c r="G6" s="82">
        <v>492.39</v>
      </c>
      <c r="H6" s="82">
        <v>567.78</v>
      </c>
      <c r="I6" s="82">
        <v>494.94</v>
      </c>
      <c r="J6" s="82">
        <v>642.95999999999992</v>
      </c>
    </row>
    <row r="7" spans="2:10" x14ac:dyDescent="0.2">
      <c r="B7" s="2" t="s">
        <v>21</v>
      </c>
      <c r="C7" s="75">
        <v>18044</v>
      </c>
      <c r="D7" s="75">
        <v>18070</v>
      </c>
      <c r="E7" s="75">
        <v>17834</v>
      </c>
      <c r="F7" s="75">
        <v>23838</v>
      </c>
      <c r="G7" s="82">
        <v>25144</v>
      </c>
      <c r="H7" s="82">
        <v>25014</v>
      </c>
      <c r="I7" s="82">
        <v>22868</v>
      </c>
      <c r="J7" s="82">
        <v>24231</v>
      </c>
    </row>
    <row r="8" spans="2:10" x14ac:dyDescent="0.2">
      <c r="B8" s="2" t="s">
        <v>22</v>
      </c>
      <c r="C8" s="75">
        <v>0</v>
      </c>
      <c r="D8" s="75">
        <v>0</v>
      </c>
      <c r="E8" s="75">
        <v>0</v>
      </c>
      <c r="F8" s="75">
        <v>0</v>
      </c>
      <c r="G8" s="82">
        <v>0</v>
      </c>
      <c r="H8" s="82">
        <v>0</v>
      </c>
      <c r="I8" s="82">
        <v>0</v>
      </c>
      <c r="J8" s="82">
        <v>0</v>
      </c>
    </row>
    <row r="9" spans="2:10" ht="3.75" customHeight="1" x14ac:dyDescent="0.2">
      <c r="C9" s="82"/>
      <c r="D9" s="82"/>
      <c r="E9" s="82"/>
      <c r="F9" s="82"/>
      <c r="G9" s="82"/>
      <c r="H9" s="82"/>
      <c r="I9" s="82"/>
      <c r="J9" s="82"/>
    </row>
    <row r="10" spans="2:10" x14ac:dyDescent="0.2">
      <c r="B10" s="2" t="s">
        <v>23</v>
      </c>
      <c r="C10" s="82">
        <v>1286</v>
      </c>
      <c r="D10" s="82">
        <v>1329</v>
      </c>
      <c r="E10" s="82">
        <v>1386</v>
      </c>
      <c r="F10" s="82">
        <v>1381</v>
      </c>
      <c r="G10" s="82">
        <v>1339</v>
      </c>
      <c r="H10" s="82">
        <v>1283</v>
      </c>
      <c r="I10" s="82">
        <v>1288</v>
      </c>
      <c r="J10" s="82">
        <v>1313</v>
      </c>
    </row>
    <row r="11" spans="2:10" x14ac:dyDescent="0.2">
      <c r="B11" s="2" t="s">
        <v>25</v>
      </c>
      <c r="C11" s="82">
        <f>6684-0.279999999998836</f>
        <v>6683.7200000000012</v>
      </c>
      <c r="D11" s="82">
        <f>8541+0.640000000010332</f>
        <v>8541.6400000000103</v>
      </c>
      <c r="E11" s="82">
        <f>11559+0.119999999998981</f>
        <v>11559.119999999999</v>
      </c>
      <c r="F11" s="82">
        <f>8159-0.160000000003492</f>
        <v>8158.8399999999965</v>
      </c>
      <c r="G11" s="82">
        <f>8446-0.559999999997672</f>
        <v>8445.4400000000023</v>
      </c>
      <c r="H11" s="82">
        <f>11170-0.119999999995343</f>
        <v>11169.880000000005</v>
      </c>
      <c r="I11" s="82">
        <f>14713+0.239999999997963</f>
        <v>14713.239999999998</v>
      </c>
      <c r="J11" s="82">
        <f>12545+0.160000000003492</f>
        <v>12545.160000000003</v>
      </c>
    </row>
    <row r="12" spans="2:10" ht="3.75" customHeight="1" x14ac:dyDescent="0.2">
      <c r="C12" s="55"/>
      <c r="D12" s="55"/>
      <c r="E12" s="55"/>
      <c r="F12" s="55"/>
      <c r="G12" s="55"/>
      <c r="H12" s="55"/>
      <c r="I12" s="55"/>
      <c r="J12" s="55"/>
    </row>
    <row r="13" spans="2:10" s="10" customFormat="1" ht="12.6" thickBot="1" x14ac:dyDescent="0.3">
      <c r="B13" s="78" t="s">
        <v>29</v>
      </c>
      <c r="C13" s="79">
        <f>SUM(C6:C12)</f>
        <v>26427.54</v>
      </c>
      <c r="D13" s="79">
        <f t="shared" ref="D13:J13" si="0">SUM(D6:D12)</f>
        <v>28436.48000000001</v>
      </c>
      <c r="E13" s="79">
        <f t="shared" si="0"/>
        <v>31189.34</v>
      </c>
      <c r="F13" s="79">
        <f t="shared" si="0"/>
        <v>33960.379999999997</v>
      </c>
      <c r="G13" s="79">
        <f t="shared" si="0"/>
        <v>35420.83</v>
      </c>
      <c r="H13" s="79">
        <f t="shared" si="0"/>
        <v>38034.660000000003</v>
      </c>
      <c r="I13" s="79">
        <f t="shared" si="0"/>
        <v>39364.179999999993</v>
      </c>
      <c r="J13" s="79">
        <f t="shared" si="0"/>
        <v>38732.120000000003</v>
      </c>
    </row>
    <row r="14" spans="2:10" x14ac:dyDescent="0.2">
      <c r="C14" s="56"/>
      <c r="D14" s="56"/>
      <c r="E14" s="56"/>
      <c r="F14" s="56"/>
      <c r="G14" s="56"/>
      <c r="H14" s="56"/>
      <c r="I14" s="56"/>
      <c r="J14" s="56"/>
    </row>
    <row r="15" spans="2:10" x14ac:dyDescent="0.2">
      <c r="B15" s="2" t="s">
        <v>24</v>
      </c>
      <c r="C15" s="81">
        <v>15125</v>
      </c>
      <c r="D15" s="81">
        <v>14949</v>
      </c>
      <c r="E15" s="81">
        <v>15021</v>
      </c>
      <c r="F15" s="81">
        <v>20478</v>
      </c>
      <c r="G15" s="81">
        <v>14938</v>
      </c>
      <c r="H15" s="81">
        <v>11806</v>
      </c>
      <c r="I15" s="81">
        <v>14195</v>
      </c>
      <c r="J15" s="81">
        <v>11002</v>
      </c>
    </row>
    <row r="16" spans="2:10" x14ac:dyDescent="0.2">
      <c r="B16" s="2" t="s">
        <v>36</v>
      </c>
      <c r="C16" s="81">
        <v>6056</v>
      </c>
      <c r="D16" s="81">
        <v>8304</v>
      </c>
      <c r="E16" s="81">
        <v>9737</v>
      </c>
      <c r="F16" s="81">
        <v>6896</v>
      </c>
      <c r="G16" s="81">
        <v>10048</v>
      </c>
      <c r="H16" s="81">
        <v>14150</v>
      </c>
      <c r="I16" s="81">
        <v>16066</v>
      </c>
      <c r="J16" s="81">
        <v>15110</v>
      </c>
    </row>
    <row r="17" spans="1:18" ht="3.75" customHeight="1" x14ac:dyDescent="0.2">
      <c r="C17" s="81"/>
      <c r="D17" s="81"/>
      <c r="E17" s="81"/>
      <c r="F17" s="81"/>
      <c r="G17" s="81"/>
      <c r="H17" s="81"/>
      <c r="I17" s="81"/>
      <c r="J17" s="81"/>
    </row>
    <row r="18" spans="1:18" x14ac:dyDescent="0.2">
      <c r="B18" s="2" t="s">
        <v>26</v>
      </c>
      <c r="C18" s="81">
        <v>3000</v>
      </c>
      <c r="D18" s="81">
        <v>3000</v>
      </c>
      <c r="E18" s="81">
        <v>3000</v>
      </c>
      <c r="F18" s="81">
        <v>3000</v>
      </c>
      <c r="G18" s="81">
        <v>4680</v>
      </c>
      <c r="H18" s="81">
        <v>4680</v>
      </c>
      <c r="I18" s="81">
        <v>4680</v>
      </c>
      <c r="J18" s="81">
        <v>4680</v>
      </c>
    </row>
    <row r="19" spans="1:18" ht="3.75" customHeight="1" x14ac:dyDescent="0.2">
      <c r="C19" s="81"/>
      <c r="D19" s="81"/>
      <c r="E19" s="81"/>
      <c r="F19" s="81"/>
      <c r="G19" s="81"/>
      <c r="H19" s="81"/>
      <c r="I19" s="81"/>
      <c r="J19" s="81"/>
    </row>
    <row r="20" spans="1:18" x14ac:dyDescent="0.2">
      <c r="B20" s="2" t="s">
        <v>27</v>
      </c>
      <c r="C20" s="81">
        <v>2246.54</v>
      </c>
      <c r="D20" s="81">
        <v>2183.48000000001</v>
      </c>
      <c r="E20" s="81">
        <v>3431.34</v>
      </c>
      <c r="F20" s="81">
        <v>3586.38</v>
      </c>
      <c r="G20" s="81">
        <v>5754.83</v>
      </c>
      <c r="H20" s="81">
        <v>7398.66</v>
      </c>
      <c r="I20" s="81">
        <v>4423.18</v>
      </c>
      <c r="J20" s="81">
        <v>7940.12</v>
      </c>
    </row>
    <row r="21" spans="1:18" ht="3.75" customHeight="1" x14ac:dyDescent="0.2">
      <c r="C21" s="56"/>
      <c r="D21" s="56"/>
      <c r="E21" s="56"/>
      <c r="F21" s="56"/>
      <c r="G21" s="56"/>
      <c r="H21" s="56"/>
      <c r="I21" s="56"/>
      <c r="J21" s="56"/>
    </row>
    <row r="22" spans="1:18" s="10" customFormat="1" ht="12.6" thickBot="1" x14ac:dyDescent="0.3">
      <c r="B22" s="78" t="s">
        <v>28</v>
      </c>
      <c r="C22" s="79">
        <f>+SUM(C15:C21)</f>
        <v>26427.54</v>
      </c>
      <c r="D22" s="79">
        <f t="shared" ref="D22:J22" si="1">+SUM(D15:D21)</f>
        <v>28436.48000000001</v>
      </c>
      <c r="E22" s="79">
        <f t="shared" si="1"/>
        <v>31189.34</v>
      </c>
      <c r="F22" s="79">
        <f t="shared" si="1"/>
        <v>33960.379999999997</v>
      </c>
      <c r="G22" s="79">
        <f t="shared" si="1"/>
        <v>35420.83</v>
      </c>
      <c r="H22" s="79">
        <f t="shared" si="1"/>
        <v>38034.660000000003</v>
      </c>
      <c r="I22" s="79">
        <f t="shared" si="1"/>
        <v>39364.18</v>
      </c>
      <c r="J22" s="79">
        <f t="shared" si="1"/>
        <v>38732.120000000003</v>
      </c>
    </row>
    <row r="24" spans="1:18" s="89" customFormat="1" x14ac:dyDescent="0.2">
      <c r="A24" s="91"/>
      <c r="B24" s="92" t="s">
        <v>30</v>
      </c>
      <c r="C24" s="95">
        <f>C7/'Income Statement'!C7*90</f>
        <v>79.310412189880836</v>
      </c>
      <c r="D24" s="93">
        <f>D7/'Income Statement'!D7*90</f>
        <v>65.927517431490188</v>
      </c>
      <c r="E24" s="90">
        <f>E7/'Income Statement'!E7*90</f>
        <v>84.901348849510711</v>
      </c>
      <c r="F24" s="90">
        <f>F7/'Income Statement'!F7*90</f>
        <v>77.989748809480531</v>
      </c>
      <c r="G24" s="90">
        <f>G7/'Income Statement'!H7*90</f>
        <v>100.17529880478087</v>
      </c>
      <c r="H24" s="90">
        <f>H7/'Income Statement'!I7*90</f>
        <v>85.320245584779812</v>
      </c>
      <c r="I24" s="103">
        <f>I7/'Income Statement'!J7*90</f>
        <v>92.288238195596605</v>
      </c>
      <c r="J24" s="101">
        <f>J7/'Income Statement'!K7*90</f>
        <v>71.606961090132984</v>
      </c>
    </row>
    <row r="25" spans="1:18" s="89" customFormat="1" x14ac:dyDescent="0.2">
      <c r="B25" s="94" t="s">
        <v>31</v>
      </c>
      <c r="C25" s="96">
        <f>-C15/('Income Statement'!C8+'Income Statement'!C9)*90</f>
        <v>114.86372458020421</v>
      </c>
      <c r="D25" s="90">
        <f>-D15/('Income Statement'!D8+'Income Statement'!D9)*90</f>
        <v>97.599564744287278</v>
      </c>
      <c r="E25" s="97">
        <f>-E15/('Income Statement'!E8+'Income Statement'!E9)*90</f>
        <v>122.69831185333092</v>
      </c>
      <c r="F25" s="98">
        <f>-F15/('Income Statement'!F8+'Income Statement'!F9)*90</f>
        <v>116.7576813430472</v>
      </c>
      <c r="G25" s="98">
        <f>-G15/('Income Statement'!H8+'Income Statement'!H9)*90</f>
        <v>106.75931072818233</v>
      </c>
      <c r="H25" s="98">
        <f>-H15/('Income Statement'!I8+'Income Statement'!I9)*90</f>
        <v>71.71087264628467</v>
      </c>
      <c r="I25" s="97">
        <f>-I15/('Income Statement'!J8+'Income Statement'!J9)*90</f>
        <v>93.572841133816738</v>
      </c>
      <c r="J25" s="102">
        <f>-J15/('Income Statement'!K8+'Income Statement'!K9)*90</f>
        <v>54.802966570732785</v>
      </c>
      <c r="K25" s="99"/>
      <c r="L25" s="99"/>
      <c r="M25" s="99"/>
      <c r="N25" s="99"/>
      <c r="O25" s="99"/>
      <c r="P25" s="99"/>
      <c r="Q25" s="99"/>
      <c r="R25" s="100"/>
    </row>
    <row r="27" spans="1:18" x14ac:dyDescent="0.2">
      <c r="C27" s="9"/>
    </row>
  </sheetData>
  <sheetProtection algorithmName="SHA-512" hashValue="MuDg7mhsb/liFJ8h32hzNznuZrPFmwAaqk3uviD17dj2oK15ZtdEo/HiZ4AaqAvL3mqh9aE8nNICuEwRKt4AVA==" saltValue="xeaRsp0IQYbziIBu9OaSN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9"/>
  <sheetViews>
    <sheetView showGridLines="0" workbookViewId="0">
      <selection activeCell="B1" sqref="B1"/>
    </sheetView>
  </sheetViews>
  <sheetFormatPr defaultColWidth="9.109375" defaultRowHeight="11.4" x14ac:dyDescent="0.2"/>
  <cols>
    <col min="1" max="1" width="2" style="2" customWidth="1"/>
    <col min="2" max="2" width="26.44140625" style="2" bestFit="1" customWidth="1"/>
    <col min="3" max="6" width="9.109375" style="2"/>
    <col min="7" max="7" width="9.109375" style="88"/>
    <col min="8" max="16384" width="9.109375" style="2"/>
  </cols>
  <sheetData>
    <row r="1" spans="2:8" ht="15.6" x14ac:dyDescent="0.3">
      <c r="B1" s="3" t="s">
        <v>122</v>
      </c>
    </row>
    <row r="4" spans="2:8" ht="12.6" thickBot="1" x14ac:dyDescent="0.3">
      <c r="B4" s="33" t="s">
        <v>18</v>
      </c>
      <c r="C4" s="41" t="s">
        <v>14</v>
      </c>
      <c r="D4" s="41" t="s">
        <v>15</v>
      </c>
      <c r="E4" s="41" t="s">
        <v>16</v>
      </c>
      <c r="F4" s="41" t="s">
        <v>17</v>
      </c>
      <c r="G4" s="104" t="s">
        <v>112</v>
      </c>
    </row>
    <row r="5" spans="2:8" x14ac:dyDescent="0.2">
      <c r="B5" s="2" t="s">
        <v>7</v>
      </c>
      <c r="C5" s="84">
        <f>'Income Statement'!H12</f>
        <v>4301</v>
      </c>
      <c r="D5" s="84">
        <f>'Income Statement'!I12</f>
        <v>6071</v>
      </c>
      <c r="E5" s="84">
        <f>'Income Statement'!J12</f>
        <v>3008</v>
      </c>
      <c r="F5" s="84">
        <f>'Income Statement'!K12</f>
        <v>6156</v>
      </c>
      <c r="G5" s="105">
        <f>'Income Statement'!L12</f>
        <v>19536</v>
      </c>
    </row>
    <row r="6" spans="2:8" x14ac:dyDescent="0.2">
      <c r="B6" s="2" t="s">
        <v>10</v>
      </c>
      <c r="C6" s="84">
        <f>'Income Statement'!H15</f>
        <v>-234</v>
      </c>
      <c r="D6" s="84">
        <f>'Income Statement'!I15</f>
        <v>-234</v>
      </c>
      <c r="E6" s="84">
        <f>'Income Statement'!J15</f>
        <v>-234</v>
      </c>
      <c r="F6" s="84">
        <f>'Income Statement'!K15</f>
        <v>-234</v>
      </c>
      <c r="G6" s="105">
        <f>'Income Statement'!L15</f>
        <v>-936</v>
      </c>
    </row>
    <row r="7" spans="2:8" x14ac:dyDescent="0.2">
      <c r="B7" s="2" t="s">
        <v>12</v>
      </c>
      <c r="C7" s="84">
        <f>'Income Statement'!H17</f>
        <v>-398.20000000000005</v>
      </c>
      <c r="D7" s="84">
        <f>'Income Statement'!I17</f>
        <v>-575.20000000000005</v>
      </c>
      <c r="E7" s="84">
        <f>'Income Statement'!J17</f>
        <v>-268.90000000000003</v>
      </c>
      <c r="F7" s="84">
        <f>'Income Statement'!K17</f>
        <v>-583.70000000000005</v>
      </c>
      <c r="G7" s="105">
        <f>'Income Statement'!L17</f>
        <v>-1826.0000000000002</v>
      </c>
      <c r="H7" s="10"/>
    </row>
    <row r="8" spans="2:8" ht="3.75" customHeight="1" x14ac:dyDescent="0.2">
      <c r="C8" s="35"/>
      <c r="D8" s="35"/>
      <c r="E8" s="35"/>
      <c r="F8" s="35"/>
      <c r="G8" s="106"/>
      <c r="H8" s="10"/>
    </row>
    <row r="9" spans="2:8" x14ac:dyDescent="0.2">
      <c r="B9" s="10" t="s">
        <v>32</v>
      </c>
      <c r="C9" s="85">
        <f>-('Balance Sheet'!G7-'Balance Sheet'!F7)</f>
        <v>-1306</v>
      </c>
      <c r="D9" s="85">
        <f>-('Balance Sheet'!H7-'Balance Sheet'!G7)</f>
        <v>130</v>
      </c>
      <c r="E9" s="85">
        <f>-('Balance Sheet'!I7-'Balance Sheet'!H7)</f>
        <v>2146</v>
      </c>
      <c r="F9" s="85">
        <f>-('Balance Sheet'!J7-'Balance Sheet'!I7)</f>
        <v>-1363</v>
      </c>
      <c r="G9" s="107">
        <f>SUM(C9:F9)</f>
        <v>-393</v>
      </c>
      <c r="H9" s="10"/>
    </row>
    <row r="10" spans="2:8" x14ac:dyDescent="0.2">
      <c r="B10" s="10" t="s">
        <v>33</v>
      </c>
      <c r="C10" s="85">
        <f>-('Balance Sheet'!G11-'Balance Sheet'!F11)</f>
        <v>-286.60000000000582</v>
      </c>
      <c r="D10" s="85">
        <f>-('Balance Sheet'!H11-'Balance Sheet'!G11)</f>
        <v>-2724.4400000000023</v>
      </c>
      <c r="E10" s="85">
        <f>-('Balance Sheet'!I11-'Balance Sheet'!H11)</f>
        <v>-3543.3599999999933</v>
      </c>
      <c r="F10" s="85">
        <f>-('Balance Sheet'!J11-'Balance Sheet'!I11)</f>
        <v>2168.0799999999945</v>
      </c>
      <c r="G10" s="107">
        <f>SUM(C10:F10)</f>
        <v>-4386.320000000007</v>
      </c>
      <c r="H10" s="10"/>
    </row>
    <row r="11" spans="2:8" x14ac:dyDescent="0.2">
      <c r="B11" s="10" t="s">
        <v>35</v>
      </c>
      <c r="C11" s="85">
        <f>-'Fixed Assets'!C8</f>
        <v>-43</v>
      </c>
      <c r="D11" s="85">
        <f>-'Fixed Assets'!D8</f>
        <v>-29</v>
      </c>
      <c r="E11" s="85">
        <f>-'Fixed Assets'!E8</f>
        <v>-90</v>
      </c>
      <c r="F11" s="85">
        <f>-'Fixed Assets'!F8</f>
        <v>-110</v>
      </c>
      <c r="G11" s="107">
        <f>SUM(C11:F11)</f>
        <v>-272</v>
      </c>
      <c r="H11" s="10"/>
    </row>
    <row r="12" spans="2:8" ht="3.75" customHeight="1" x14ac:dyDescent="0.2">
      <c r="B12" s="10"/>
      <c r="C12" s="86"/>
      <c r="D12" s="86"/>
      <c r="E12" s="86"/>
      <c r="F12" s="86"/>
      <c r="G12" s="108"/>
      <c r="H12" s="10"/>
    </row>
    <row r="13" spans="2:8" x14ac:dyDescent="0.2">
      <c r="B13" s="10" t="s">
        <v>34</v>
      </c>
      <c r="C13" s="85">
        <f>'Balance Sheet'!G15-'Balance Sheet'!F15</f>
        <v>-5540</v>
      </c>
      <c r="D13" s="85">
        <f>'Balance Sheet'!H15-'Balance Sheet'!G15</f>
        <v>-3132</v>
      </c>
      <c r="E13" s="85">
        <f>'Balance Sheet'!I15-'Balance Sheet'!H15</f>
        <v>2389</v>
      </c>
      <c r="F13" s="85">
        <f>'Balance Sheet'!J15-'Balance Sheet'!I15</f>
        <v>-3193</v>
      </c>
      <c r="G13" s="107">
        <f>SUM(C13:F13)</f>
        <v>-9476</v>
      </c>
      <c r="H13" s="10"/>
    </row>
    <row r="14" spans="2:8" x14ac:dyDescent="0.2">
      <c r="B14" s="10" t="s">
        <v>37</v>
      </c>
      <c r="C14" s="85">
        <f>'Balance Sheet'!G16-'Balance Sheet'!F16</f>
        <v>3152</v>
      </c>
      <c r="D14" s="85">
        <f>'Balance Sheet'!H16-'Balance Sheet'!G16</f>
        <v>4102</v>
      </c>
      <c r="E14" s="85">
        <f>'Balance Sheet'!I16-'Balance Sheet'!H16</f>
        <v>1916</v>
      </c>
      <c r="F14" s="85">
        <f>'Balance Sheet'!J16-'Balance Sheet'!I16</f>
        <v>-956</v>
      </c>
      <c r="G14" s="107">
        <f>SUM(C14:F14)</f>
        <v>8214</v>
      </c>
      <c r="H14" s="10"/>
    </row>
    <row r="15" spans="2:8" x14ac:dyDescent="0.2">
      <c r="B15" s="10" t="s">
        <v>38</v>
      </c>
      <c r="C15" s="85">
        <f>'Balance Sheet'!G18-'Balance Sheet'!F18</f>
        <v>1680</v>
      </c>
      <c r="D15" s="85">
        <f>'Balance Sheet'!H18-'Balance Sheet'!G18</f>
        <v>0</v>
      </c>
      <c r="E15" s="85">
        <f>'Balance Sheet'!I18-'Balance Sheet'!H18</f>
        <v>0</v>
      </c>
      <c r="F15" s="85">
        <f>'Balance Sheet'!J18-'Balance Sheet'!I18</f>
        <v>0</v>
      </c>
      <c r="G15" s="107">
        <f>SUM(C15:F15)</f>
        <v>1680</v>
      </c>
      <c r="H15" s="10"/>
    </row>
    <row r="16" spans="2:8" ht="3.75" customHeight="1" x14ac:dyDescent="0.2">
      <c r="B16" s="10"/>
      <c r="C16" s="86"/>
      <c r="D16" s="86"/>
      <c r="E16" s="86"/>
      <c r="F16" s="86"/>
      <c r="G16" s="108"/>
      <c r="H16" s="10"/>
    </row>
    <row r="17" spans="2:8" x14ac:dyDescent="0.2">
      <c r="B17" s="10" t="s">
        <v>39</v>
      </c>
      <c r="C17" s="85">
        <f>'Balance Sheet'!G20-'Balance Sheet'!F20-'Income Statement'!H18</f>
        <v>-1415.3500000000004</v>
      </c>
      <c r="D17" s="85">
        <f>'Balance Sheet'!H20-'Balance Sheet'!G20-'Income Statement'!I18</f>
        <v>-3532.9700000000003</v>
      </c>
      <c r="E17" s="85">
        <f>'Balance Sheet'!I20-'Balance Sheet'!H20-'Income Statement'!J18</f>
        <v>-5395.58</v>
      </c>
      <c r="F17" s="85">
        <f>'Balance Sheet'!J20-'Balance Sheet'!I20-'Income Statement'!K18</f>
        <v>-1736.3600000000006</v>
      </c>
      <c r="G17" s="107">
        <f>SUM(C17:F17)</f>
        <v>-12080.260000000002</v>
      </c>
      <c r="H17" s="10"/>
    </row>
    <row r="18" spans="2:8" ht="3.75" customHeight="1" x14ac:dyDescent="0.2">
      <c r="B18" s="8"/>
      <c r="C18" s="59"/>
      <c r="D18" s="59"/>
      <c r="E18" s="59"/>
      <c r="F18" s="59"/>
      <c r="G18" s="109"/>
    </row>
    <row r="19" spans="2:8" s="10" customFormat="1" ht="12.6" thickBot="1" x14ac:dyDescent="0.3">
      <c r="B19" s="78" t="s">
        <v>40</v>
      </c>
      <c r="C19" s="79">
        <f>SUM(C5:C17)</f>
        <v>-90.150000000006003</v>
      </c>
      <c r="D19" s="79">
        <f>SUM(D5:D17)</f>
        <v>75.389999999997599</v>
      </c>
      <c r="E19" s="79">
        <f>SUM(E5:E17)</f>
        <v>-72.83999999999287</v>
      </c>
      <c r="F19" s="79">
        <f>SUM(F5:F17)</f>
        <v>148.01999999999407</v>
      </c>
      <c r="G19" s="110">
        <f>SUM(C19:F19)</f>
        <v>60.419999999992797</v>
      </c>
    </row>
  </sheetData>
  <sheetProtection algorithmName="SHA-512" hashValue="KRhqcinxGK+yUsq83tDO2c+Yp1OsrNyWYzuhyyFP3a5M6CgzcUuGbBXQ/43Wrnx90dPQpdmU757C84RzgQQroA==" saltValue="A3gEyNtqjAvSiaMRlF7X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6DF7-CD77-4D72-9B6D-69389DD75226}">
  <sheetPr>
    <tabColor rgb="FF002060"/>
  </sheetPr>
  <dimension ref="B17"/>
  <sheetViews>
    <sheetView workbookViewId="0">
      <selection activeCell="F37" sqref="F37"/>
    </sheetView>
  </sheetViews>
  <sheetFormatPr defaultColWidth="9.21875" defaultRowHeight="14.4" x14ac:dyDescent="0.3"/>
  <cols>
    <col min="1" max="1" width="2.44140625" style="1" customWidth="1"/>
    <col min="2" max="16384" width="9.21875" style="1"/>
  </cols>
  <sheetData>
    <row r="17" spans="2:2" ht="50.4" x14ac:dyDescent="0.85">
      <c r="B17" s="7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84"/>
  <sheetViews>
    <sheetView workbookViewId="0">
      <selection activeCell="F37" sqref="F37"/>
    </sheetView>
  </sheetViews>
  <sheetFormatPr defaultColWidth="9.109375" defaultRowHeight="11.4" x14ac:dyDescent="0.2"/>
  <cols>
    <col min="1" max="1" width="2" style="2" customWidth="1"/>
    <col min="2" max="2" width="30" style="2" customWidth="1"/>
    <col min="3" max="3" width="10.44140625" style="2" customWidth="1"/>
    <col min="4" max="4" width="10.5546875" style="2" customWidth="1"/>
    <col min="5" max="5" width="10.88671875" style="2" customWidth="1"/>
    <col min="6" max="6" width="10.44140625" style="2" customWidth="1"/>
    <col min="7" max="7" width="10.5546875" style="2" customWidth="1"/>
    <col min="8" max="8" width="11" style="2" customWidth="1"/>
    <col min="9" max="9" width="11.33203125" style="2" bestFit="1" customWidth="1"/>
    <col min="10" max="10" width="10.6640625" style="2" customWidth="1"/>
    <col min="11" max="12" width="10.44140625" style="2" customWidth="1"/>
    <col min="13" max="13" width="1.44140625" style="2" customWidth="1"/>
    <col min="14" max="14" width="10.44140625" style="2" customWidth="1"/>
    <col min="15" max="15" width="1.33203125" style="2" customWidth="1"/>
    <col min="16" max="16" width="10.44140625" style="2" customWidth="1"/>
    <col min="17" max="17" width="1.33203125" style="2" customWidth="1"/>
    <col min="18" max="18" width="10.33203125" style="2" bestFit="1" customWidth="1"/>
    <col min="19" max="20" width="10.44140625" style="2" customWidth="1"/>
    <col min="21" max="21" width="10.88671875" style="2" customWidth="1"/>
    <col min="22" max="22" width="10.33203125" style="2" bestFit="1" customWidth="1"/>
    <col min="23" max="16384" width="9.109375" style="2"/>
  </cols>
  <sheetData>
    <row r="1" spans="2:22" ht="13.8" x14ac:dyDescent="0.25">
      <c r="B1" s="133" t="s">
        <v>53</v>
      </c>
      <c r="C1" s="6"/>
      <c r="D1" s="6"/>
      <c r="E1" s="6"/>
      <c r="F1" s="6"/>
      <c r="G1" s="6" t="s">
        <v>147</v>
      </c>
      <c r="H1" s="129"/>
      <c r="I1" s="6" t="s">
        <v>150</v>
      </c>
      <c r="J1" s="6"/>
      <c r="K1" s="6"/>
      <c r="L1" s="6"/>
      <c r="M1" s="6"/>
      <c r="N1" s="6"/>
      <c r="O1" s="6"/>
      <c r="P1" s="6"/>
    </row>
    <row r="2" spans="2:22" x14ac:dyDescent="0.2">
      <c r="C2" s="6"/>
      <c r="D2" s="6"/>
      <c r="E2" s="6"/>
      <c r="F2" s="6"/>
      <c r="G2" s="6"/>
      <c r="H2" s="130"/>
      <c r="I2" s="6" t="s">
        <v>149</v>
      </c>
      <c r="J2" s="6"/>
      <c r="K2" s="6"/>
      <c r="L2" s="6"/>
      <c r="M2" s="6"/>
      <c r="N2" s="6"/>
      <c r="O2" s="6"/>
      <c r="P2" s="6"/>
    </row>
    <row r="3" spans="2:22" x14ac:dyDescent="0.2">
      <c r="C3" s="6"/>
      <c r="D3" s="6"/>
      <c r="E3" s="6"/>
      <c r="F3" s="6"/>
      <c r="G3" s="6"/>
      <c r="H3" s="131"/>
      <c r="I3" s="6" t="s">
        <v>148</v>
      </c>
      <c r="J3" s="6"/>
      <c r="K3" s="6"/>
      <c r="L3" s="6"/>
      <c r="M3" s="6"/>
      <c r="N3" s="6"/>
      <c r="O3" s="6"/>
      <c r="P3" s="6"/>
    </row>
    <row r="4" spans="2:22" ht="17.399999999999999" x14ac:dyDescent="0.3">
      <c r="B4" s="117" t="s">
        <v>106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22" ht="12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R5" s="74" t="s">
        <v>47</v>
      </c>
      <c r="S5" s="74"/>
      <c r="T5" s="74"/>
      <c r="U5" s="74"/>
      <c r="V5" s="74"/>
    </row>
    <row r="6" spans="2:22" ht="3.75" customHeight="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22" ht="12.6" thickBot="1" x14ac:dyDescent="0.3">
      <c r="B7" s="33" t="s">
        <v>134</v>
      </c>
      <c r="C7" s="41" t="s">
        <v>14</v>
      </c>
      <c r="D7" s="41" t="s">
        <v>15</v>
      </c>
      <c r="E7" s="41" t="s">
        <v>16</v>
      </c>
      <c r="F7" s="41" t="s">
        <v>17</v>
      </c>
      <c r="G7" s="41" t="s">
        <v>101</v>
      </c>
      <c r="H7" s="41" t="s">
        <v>14</v>
      </c>
      <c r="I7" s="41" t="s">
        <v>15</v>
      </c>
      <c r="J7" s="41" t="s">
        <v>16</v>
      </c>
      <c r="K7" s="41" t="s">
        <v>17</v>
      </c>
      <c r="L7" s="41" t="s">
        <v>112</v>
      </c>
      <c r="M7" s="21"/>
      <c r="N7" s="64" t="s">
        <v>62</v>
      </c>
      <c r="O7" s="21"/>
      <c r="P7" s="23" t="s">
        <v>143</v>
      </c>
      <c r="R7" s="41" t="s">
        <v>14</v>
      </c>
      <c r="S7" s="41" t="s">
        <v>15</v>
      </c>
      <c r="T7" s="41" t="s">
        <v>16</v>
      </c>
      <c r="U7" s="41" t="s">
        <v>17</v>
      </c>
      <c r="V7" s="41" t="s">
        <v>123</v>
      </c>
    </row>
    <row r="8" spans="2:22" x14ac:dyDescent="0.2">
      <c r="B8" s="2" t="s">
        <v>43</v>
      </c>
      <c r="C8" s="116">
        <f>C48/C28</f>
        <v>485.54879999999997</v>
      </c>
      <c r="D8" s="116">
        <f t="shared" ref="D8:F8" si="0">D48/D28</f>
        <v>513.36969696969697</v>
      </c>
      <c r="E8" s="116">
        <f t="shared" si="0"/>
        <v>408.17910447761193</v>
      </c>
      <c r="F8" s="116">
        <f t="shared" si="0"/>
        <v>307.24683544303798</v>
      </c>
      <c r="G8" s="63">
        <f>SUM(C8:F8)</f>
        <v>1714.3444368903467</v>
      </c>
      <c r="H8" s="35">
        <f t="shared" ref="H8:K11" si="1">H48/H28</f>
        <v>374.33157894736843</v>
      </c>
      <c r="I8" s="35">
        <f t="shared" si="1"/>
        <v>461.60975609756099</v>
      </c>
      <c r="J8" s="35">
        <f t="shared" si="1"/>
        <v>418.42753623188401</v>
      </c>
      <c r="K8" s="35">
        <f t="shared" si="1"/>
        <v>402.47887323943667</v>
      </c>
      <c r="L8" s="63">
        <f>SUM(H8:K8)</f>
        <v>1656.8477445162503</v>
      </c>
      <c r="M8" s="15"/>
      <c r="N8" s="65">
        <f>L8/G8-1</f>
        <v>-3.3538588358818844E-2</v>
      </c>
      <c r="O8" s="22"/>
      <c r="P8" s="22">
        <v>0</v>
      </c>
      <c r="R8" s="35">
        <f>($P8+1)*(H8)</f>
        <v>374.33157894736843</v>
      </c>
      <c r="S8" s="35">
        <f t="shared" ref="S8:S11" si="2">($P8+1)*(I8)</f>
        <v>461.60975609756099</v>
      </c>
      <c r="T8" s="35">
        <f t="shared" ref="T8:T11" si="3">($P8+1)*(J8)</f>
        <v>418.42753623188401</v>
      </c>
      <c r="U8" s="35">
        <f t="shared" ref="U8:U11" si="4">($P8+1)*(K8)</f>
        <v>402.47887323943667</v>
      </c>
      <c r="V8" s="63">
        <f>SUM(R8:U8)</f>
        <v>1656.8477445162503</v>
      </c>
    </row>
    <row r="9" spans="2:22" x14ac:dyDescent="0.2">
      <c r="B9" s="2" t="s">
        <v>44</v>
      </c>
      <c r="C9" s="116">
        <f t="shared" ref="C9:F9" si="5">C49/C29</f>
        <v>185.04146341463417</v>
      </c>
      <c r="D9" s="116">
        <f t="shared" si="5"/>
        <v>236.1142857142857</v>
      </c>
      <c r="E9" s="116">
        <f t="shared" si="5"/>
        <v>204.70059880239521</v>
      </c>
      <c r="F9" s="116">
        <f t="shared" si="5"/>
        <v>343.24747474747471</v>
      </c>
      <c r="G9" s="63">
        <f t="shared" ref="G9:G12" si="6">SUM(C9:F9)</f>
        <v>969.10382267878981</v>
      </c>
      <c r="H9" s="35">
        <f t="shared" si="1"/>
        <v>223.00271739130437</v>
      </c>
      <c r="I9" s="35">
        <f t="shared" si="1"/>
        <v>205.93056994818653</v>
      </c>
      <c r="J9" s="35">
        <f t="shared" si="1"/>
        <v>214.76686390532547</v>
      </c>
      <c r="K9" s="35">
        <f t="shared" si="1"/>
        <v>362.53134328358209</v>
      </c>
      <c r="L9" s="63">
        <f t="shared" ref="L9:L12" si="7">SUM(H9:K9)</f>
        <v>1006.2314945283986</v>
      </c>
      <c r="M9" s="15"/>
      <c r="N9" s="65">
        <f t="shared" ref="N9:N12" si="8">L9/G9-1</f>
        <v>3.831134598868946E-2</v>
      </c>
      <c r="O9" s="22"/>
      <c r="P9" s="22">
        <v>3.7999999999999999E-2</v>
      </c>
      <c r="R9" s="35">
        <f t="shared" ref="R9:R11" si="9">($P9+1)*(H9)</f>
        <v>231.47682065217396</v>
      </c>
      <c r="S9" s="35">
        <f t="shared" si="2"/>
        <v>213.75593160621762</v>
      </c>
      <c r="T9" s="35">
        <f t="shared" si="3"/>
        <v>222.92800473372785</v>
      </c>
      <c r="U9" s="35">
        <f t="shared" si="4"/>
        <v>376.3075343283582</v>
      </c>
      <c r="V9" s="63">
        <f t="shared" ref="V9:V12" si="10">SUM(R9:U9)</f>
        <v>1044.4682913204774</v>
      </c>
    </row>
    <row r="10" spans="2:22" x14ac:dyDescent="0.2">
      <c r="B10" s="2" t="s">
        <v>45</v>
      </c>
      <c r="C10" s="116">
        <f t="shared" ref="C10:F10" si="11">C50/C30</f>
        <v>49.088967971530252</v>
      </c>
      <c r="D10" s="116">
        <f t="shared" si="11"/>
        <v>57.433204633204639</v>
      </c>
      <c r="E10" s="116">
        <f t="shared" si="11"/>
        <v>37.123981900452485</v>
      </c>
      <c r="F10" s="116">
        <f t="shared" si="11"/>
        <v>114.22352941176472</v>
      </c>
      <c r="G10" s="63">
        <f t="shared" si="6"/>
        <v>257.86968391695211</v>
      </c>
      <c r="H10" s="35">
        <f t="shared" si="1"/>
        <v>98.657377049180326</v>
      </c>
      <c r="I10" s="35">
        <f t="shared" si="1"/>
        <v>185.54901960784312</v>
      </c>
      <c r="J10" s="35">
        <f t="shared" si="1"/>
        <v>226.18225806451613</v>
      </c>
      <c r="K10" s="35">
        <f t="shared" si="1"/>
        <v>516.43373493975901</v>
      </c>
      <c r="L10" s="63">
        <f t="shared" si="7"/>
        <v>1026.8223896612985</v>
      </c>
      <c r="M10" s="15"/>
      <c r="N10" s="65">
        <f t="shared" si="8"/>
        <v>2.9819430266645477</v>
      </c>
      <c r="O10" s="22"/>
      <c r="P10" s="22">
        <v>0.2</v>
      </c>
      <c r="R10" s="35">
        <f t="shared" si="9"/>
        <v>118.38885245901639</v>
      </c>
      <c r="S10" s="35">
        <f t="shared" si="2"/>
        <v>222.65882352941173</v>
      </c>
      <c r="T10" s="35">
        <f t="shared" si="3"/>
        <v>271.41870967741937</v>
      </c>
      <c r="U10" s="35">
        <f t="shared" si="4"/>
        <v>619.72048192771081</v>
      </c>
      <c r="V10" s="63">
        <f t="shared" si="10"/>
        <v>1232.1868675935584</v>
      </c>
    </row>
    <row r="11" spans="2:22" x14ac:dyDescent="0.2">
      <c r="B11" s="2" t="s">
        <v>46</v>
      </c>
      <c r="C11" s="116">
        <f t="shared" ref="C11:F11" si="12">C51/C31</f>
        <v>245.22666666666672</v>
      </c>
      <c r="D11" s="116">
        <f t="shared" si="12"/>
        <v>330.56000000000012</v>
      </c>
      <c r="E11" s="116">
        <f t="shared" si="12"/>
        <v>273.47999999999996</v>
      </c>
      <c r="F11" s="116">
        <f t="shared" si="12"/>
        <v>353.05454545454546</v>
      </c>
      <c r="G11" s="63">
        <f t="shared" si="6"/>
        <v>1202.3212121212123</v>
      </c>
      <c r="H11" s="35">
        <f t="shared" si="1"/>
        <v>413.04238410596031</v>
      </c>
      <c r="I11" s="35">
        <f t="shared" si="1"/>
        <v>415.15096774193552</v>
      </c>
      <c r="J11" s="35">
        <f t="shared" si="1"/>
        <v>308.59568345323743</v>
      </c>
      <c r="K11" s="35">
        <f t="shared" si="1"/>
        <v>71.045303867403305</v>
      </c>
      <c r="L11" s="63">
        <f t="shared" si="7"/>
        <v>1207.8343391685366</v>
      </c>
      <c r="M11" s="15"/>
      <c r="N11" s="65">
        <f t="shared" si="8"/>
        <v>4.5854027956453436E-3</v>
      </c>
      <c r="O11" s="22"/>
      <c r="P11" s="22">
        <v>5.0000000000000001E-3</v>
      </c>
      <c r="R11" s="35">
        <f t="shared" si="9"/>
        <v>415.10759602649006</v>
      </c>
      <c r="S11" s="35">
        <f t="shared" si="2"/>
        <v>417.22672258064517</v>
      </c>
      <c r="T11" s="35">
        <f t="shared" si="3"/>
        <v>310.1386618705036</v>
      </c>
      <c r="U11" s="35">
        <f t="shared" si="4"/>
        <v>71.400530386740314</v>
      </c>
      <c r="V11" s="63">
        <f t="shared" si="10"/>
        <v>1213.8735108643791</v>
      </c>
    </row>
    <row r="12" spans="2:22" s="10" customFormat="1" ht="12.6" thickBot="1" x14ac:dyDescent="0.3">
      <c r="B12" s="78" t="s">
        <v>136</v>
      </c>
      <c r="C12" s="79">
        <f>SUM(C8:C11)</f>
        <v>964.90589805283105</v>
      </c>
      <c r="D12" s="79">
        <f t="shared" ref="D12:F12" si="13">SUM(D8:D11)</f>
        <v>1137.4771873171876</v>
      </c>
      <c r="E12" s="79">
        <f t="shared" si="13"/>
        <v>923.48368518045959</v>
      </c>
      <c r="F12" s="79">
        <f t="shared" si="13"/>
        <v>1117.7723850568229</v>
      </c>
      <c r="G12" s="80">
        <f t="shared" si="6"/>
        <v>4143.6391556073013</v>
      </c>
      <c r="H12" s="79">
        <f>SUM(H8:H11)</f>
        <v>1109.0340574938136</v>
      </c>
      <c r="I12" s="79">
        <f t="shared" ref="I12" si="14">SUM(I8:I11)</f>
        <v>1268.2403133955261</v>
      </c>
      <c r="J12" s="79">
        <f t="shared" ref="J12" si="15">SUM(J8:J11)</f>
        <v>1167.972341654963</v>
      </c>
      <c r="K12" s="79">
        <f t="shared" ref="K12" si="16">SUM(K8:K11)</f>
        <v>1352.4892553301811</v>
      </c>
      <c r="L12" s="80">
        <f t="shared" si="7"/>
        <v>4897.7359678744833</v>
      </c>
      <c r="M12" s="111"/>
      <c r="N12" s="112">
        <f t="shared" si="8"/>
        <v>0.18198901592256522</v>
      </c>
      <c r="O12" s="113"/>
      <c r="P12" s="113"/>
      <c r="R12" s="79">
        <f t="shared" ref="R12:U12" si="17">SUM(R8:R11)</f>
        <v>1139.3048480850487</v>
      </c>
      <c r="S12" s="79">
        <f t="shared" si="17"/>
        <v>1315.2512338138354</v>
      </c>
      <c r="T12" s="79">
        <f t="shared" si="17"/>
        <v>1222.912912513535</v>
      </c>
      <c r="U12" s="79">
        <f t="shared" si="17"/>
        <v>1469.9074198822459</v>
      </c>
      <c r="V12" s="80">
        <f t="shared" si="10"/>
        <v>5147.3764142946657</v>
      </c>
    </row>
    <row r="13" spans="2:22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22" ht="12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74" t="s">
        <v>47</v>
      </c>
      <c r="S14" s="74"/>
      <c r="T14" s="74"/>
      <c r="U14" s="74"/>
      <c r="V14" s="74"/>
    </row>
    <row r="15" spans="2:22" ht="3.75" customHeight="1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22" ht="12.6" thickBot="1" x14ac:dyDescent="0.3">
      <c r="B16" s="33" t="s">
        <v>48</v>
      </c>
      <c r="C16" s="41" t="s">
        <v>14</v>
      </c>
      <c r="D16" s="41" t="s">
        <v>15</v>
      </c>
      <c r="E16" s="41" t="s">
        <v>16</v>
      </c>
      <c r="F16" s="41" t="s">
        <v>17</v>
      </c>
      <c r="G16" s="41" t="s">
        <v>101</v>
      </c>
      <c r="H16" s="41" t="s">
        <v>14</v>
      </c>
      <c r="I16" s="41" t="s">
        <v>15</v>
      </c>
      <c r="J16" s="41" t="s">
        <v>16</v>
      </c>
      <c r="K16" s="41" t="s">
        <v>17</v>
      </c>
      <c r="L16" s="41" t="s">
        <v>112</v>
      </c>
      <c r="M16" s="21"/>
      <c r="N16" s="64" t="s">
        <v>62</v>
      </c>
      <c r="O16" s="21"/>
      <c r="P16" s="23" t="s">
        <v>143</v>
      </c>
      <c r="R16" s="41" t="s">
        <v>14</v>
      </c>
      <c r="S16" s="41" t="s">
        <v>15</v>
      </c>
      <c r="T16" s="41" t="s">
        <v>16</v>
      </c>
      <c r="U16" s="41" t="s">
        <v>17</v>
      </c>
      <c r="V16" s="41" t="s">
        <v>123</v>
      </c>
    </row>
    <row r="17" spans="2:22" x14ac:dyDescent="0.2">
      <c r="B17" s="2" t="s">
        <v>43</v>
      </c>
      <c r="C17" s="35">
        <f t="shared" ref="C17:F20" si="18">C57/C37</f>
        <v>383.59629629629626</v>
      </c>
      <c r="D17" s="35">
        <f t="shared" si="18"/>
        <v>462.86274509803923</v>
      </c>
      <c r="E17" s="35">
        <f t="shared" si="18"/>
        <v>266.48490566037736</v>
      </c>
      <c r="F17" s="35">
        <f t="shared" si="18"/>
        <v>367.77272727272725</v>
      </c>
      <c r="G17" s="63">
        <f>SUM(C17:F17)</f>
        <v>1480.7166743274402</v>
      </c>
      <c r="H17" s="35">
        <f t="shared" ref="H17:K20" si="19">H57/H37</f>
        <v>352.97142857142859</v>
      </c>
      <c r="I17" s="35">
        <f t="shared" si="19"/>
        <v>450.70833333333326</v>
      </c>
      <c r="J17" s="35">
        <f t="shared" si="19"/>
        <v>350.36981132075476</v>
      </c>
      <c r="K17" s="35">
        <f t="shared" si="19"/>
        <v>541.38</v>
      </c>
      <c r="L17" s="63">
        <f>SUM(H17:K17)</f>
        <v>1695.4295732255164</v>
      </c>
      <c r="M17" s="15"/>
      <c r="N17" s="65">
        <f>L17/G17-1</f>
        <v>0.14500606538762817</v>
      </c>
      <c r="O17" s="22"/>
      <c r="P17" s="22">
        <v>0.1</v>
      </c>
      <c r="R17" s="35">
        <f t="shared" ref="R17:R20" si="20">($P17+1)*(H17)</f>
        <v>388.26857142857148</v>
      </c>
      <c r="S17" s="35">
        <f t="shared" ref="S17:S20" si="21">($P17+1)*(I17)</f>
        <v>495.77916666666664</v>
      </c>
      <c r="T17" s="35">
        <f t="shared" ref="T17:T20" si="22">($P17+1)*(J17)</f>
        <v>385.40679245283025</v>
      </c>
      <c r="U17" s="35">
        <f t="shared" ref="U17:U20" si="23">($P17+1)*(K17)</f>
        <v>595.51800000000003</v>
      </c>
      <c r="V17" s="63">
        <f>SUM(R17:U17)</f>
        <v>1864.9725305480683</v>
      </c>
    </row>
    <row r="18" spans="2:22" x14ac:dyDescent="0.2">
      <c r="B18" s="2" t="s">
        <v>44</v>
      </c>
      <c r="C18" s="35">
        <f t="shared" si="18"/>
        <v>326.67555555555555</v>
      </c>
      <c r="D18" s="35">
        <f t="shared" si="18"/>
        <v>346.7037037037037</v>
      </c>
      <c r="E18" s="35">
        <f t="shared" si="18"/>
        <v>229.42982456140351</v>
      </c>
      <c r="F18" s="35">
        <f t="shared" si="18"/>
        <v>318.33442622950821</v>
      </c>
      <c r="G18" s="63">
        <f t="shared" ref="G18:G21" si="24">SUM(C18:F18)</f>
        <v>1221.143510050171</v>
      </c>
      <c r="H18" s="35">
        <f t="shared" si="19"/>
        <v>343.16666666666669</v>
      </c>
      <c r="I18" s="35">
        <f t="shared" si="19"/>
        <v>341.38983050847457</v>
      </c>
      <c r="J18" s="35">
        <f t="shared" si="19"/>
        <v>284.6754716981132</v>
      </c>
      <c r="K18" s="35">
        <f t="shared" si="19"/>
        <v>367.0372881355932</v>
      </c>
      <c r="L18" s="63">
        <f t="shared" ref="L18:L21" si="25">SUM(H18:K18)</f>
        <v>1336.2692570088475</v>
      </c>
      <c r="M18" s="15"/>
      <c r="N18" s="65">
        <f t="shared" ref="N18:N21" si="26">L18/G18-1</f>
        <v>9.4277000214288087E-2</v>
      </c>
      <c r="O18" s="22"/>
      <c r="P18" s="22">
        <v>0.1</v>
      </c>
      <c r="R18" s="35">
        <f t="shared" si="20"/>
        <v>377.48333333333341</v>
      </c>
      <c r="S18" s="35">
        <f t="shared" si="21"/>
        <v>375.52881355932209</v>
      </c>
      <c r="T18" s="35">
        <f t="shared" si="22"/>
        <v>313.14301886792452</v>
      </c>
      <c r="U18" s="35">
        <f t="shared" si="23"/>
        <v>403.74101694915254</v>
      </c>
      <c r="V18" s="63">
        <f t="shared" ref="V18:V21" si="27">SUM(R18:U18)</f>
        <v>1469.8961827097326</v>
      </c>
    </row>
    <row r="19" spans="2:22" x14ac:dyDescent="0.2">
      <c r="B19" s="2" t="s">
        <v>45</v>
      </c>
      <c r="C19" s="35">
        <f t="shared" si="18"/>
        <v>280.21290322580649</v>
      </c>
      <c r="D19" s="35">
        <f t="shared" si="18"/>
        <v>279.8125</v>
      </c>
      <c r="E19" s="35">
        <f t="shared" si="18"/>
        <v>261.55</v>
      </c>
      <c r="F19" s="35">
        <f t="shared" si="18"/>
        <v>418.49999999999994</v>
      </c>
      <c r="G19" s="63">
        <f t="shared" si="24"/>
        <v>1240.0754032258064</v>
      </c>
      <c r="H19" s="35">
        <f t="shared" si="19"/>
        <v>411.79999999999995</v>
      </c>
      <c r="I19" s="35">
        <f t="shared" si="19"/>
        <v>596.79999999999995</v>
      </c>
      <c r="J19" s="35">
        <f t="shared" si="19"/>
        <v>555.06956521739141</v>
      </c>
      <c r="K19" s="35">
        <f t="shared" si="19"/>
        <v>1074.1666666666665</v>
      </c>
      <c r="L19" s="63">
        <f t="shared" si="25"/>
        <v>2637.8362318840577</v>
      </c>
      <c r="M19" s="15"/>
      <c r="N19" s="65">
        <f t="shared" si="26"/>
        <v>1.127157933317811</v>
      </c>
      <c r="O19" s="22"/>
      <c r="P19" s="22">
        <v>0.3</v>
      </c>
      <c r="R19" s="35">
        <f t="shared" si="20"/>
        <v>535.33999999999992</v>
      </c>
      <c r="S19" s="35">
        <f t="shared" si="21"/>
        <v>775.83999999999992</v>
      </c>
      <c r="T19" s="35">
        <f t="shared" si="22"/>
        <v>721.5904347826089</v>
      </c>
      <c r="U19" s="35">
        <f t="shared" si="23"/>
        <v>1396.4166666666665</v>
      </c>
      <c r="V19" s="63">
        <f t="shared" si="27"/>
        <v>3429.1871014492754</v>
      </c>
    </row>
    <row r="20" spans="2:22" x14ac:dyDescent="0.2">
      <c r="B20" s="2" t="s">
        <v>46</v>
      </c>
      <c r="C20" s="35">
        <f t="shared" si="18"/>
        <v>372.43934426229509</v>
      </c>
      <c r="D20" s="35">
        <f t="shared" si="18"/>
        <v>470.59375000000006</v>
      </c>
      <c r="E20" s="35">
        <f t="shared" si="18"/>
        <v>273.62153846153842</v>
      </c>
      <c r="F20" s="35">
        <f t="shared" si="18"/>
        <v>502.2</v>
      </c>
      <c r="G20" s="63">
        <f t="shared" si="24"/>
        <v>1618.8546327238337</v>
      </c>
      <c r="H20" s="35">
        <f t="shared" si="19"/>
        <v>252.30000000000004</v>
      </c>
      <c r="I20" s="35">
        <f t="shared" si="19"/>
        <v>248.66666666666671</v>
      </c>
      <c r="J20" s="35">
        <f t="shared" si="19"/>
        <v>156.83783783783784</v>
      </c>
      <c r="K20" s="35">
        <f t="shared" si="19"/>
        <v>200.51111111111109</v>
      </c>
      <c r="L20" s="63">
        <f t="shared" si="25"/>
        <v>858.31561561561568</v>
      </c>
      <c r="M20" s="15"/>
      <c r="N20" s="65">
        <f t="shared" si="26"/>
        <v>-0.46980068607430125</v>
      </c>
      <c r="O20" s="22"/>
      <c r="P20" s="22">
        <v>0</v>
      </c>
      <c r="R20" s="35">
        <f t="shared" si="20"/>
        <v>252.30000000000004</v>
      </c>
      <c r="S20" s="35">
        <f t="shared" si="21"/>
        <v>248.66666666666671</v>
      </c>
      <c r="T20" s="35">
        <f t="shared" si="22"/>
        <v>156.83783783783784</v>
      </c>
      <c r="U20" s="35">
        <f t="shared" si="23"/>
        <v>200.51111111111109</v>
      </c>
      <c r="V20" s="63">
        <f t="shared" si="27"/>
        <v>858.31561561561568</v>
      </c>
    </row>
    <row r="21" spans="2:22" s="10" customFormat="1" ht="12.6" thickBot="1" x14ac:dyDescent="0.3">
      <c r="B21" s="78" t="s">
        <v>49</v>
      </c>
      <c r="C21" s="79">
        <f>SUM(C17:C20)</f>
        <v>1362.9240993399535</v>
      </c>
      <c r="D21" s="79">
        <f t="shared" ref="D21" si="28">SUM(D17:D20)</f>
        <v>1559.9726988017428</v>
      </c>
      <c r="E21" s="79">
        <f t="shared" ref="E21" si="29">SUM(E17:E20)</f>
        <v>1031.0862686833193</v>
      </c>
      <c r="F21" s="79">
        <f t="shared" ref="F21" si="30">SUM(F17:F20)</f>
        <v>1606.8071535022355</v>
      </c>
      <c r="G21" s="80">
        <f t="shared" si="24"/>
        <v>5560.7902203272515</v>
      </c>
      <c r="H21" s="79">
        <f>SUM(H17:H20)</f>
        <v>1360.2380952380952</v>
      </c>
      <c r="I21" s="79">
        <f t="shared" ref="I21" si="31">SUM(I17:I20)</f>
        <v>1637.5648305084744</v>
      </c>
      <c r="J21" s="79">
        <f t="shared" ref="J21" si="32">SUM(J17:J20)</f>
        <v>1346.9526860740973</v>
      </c>
      <c r="K21" s="79">
        <f t="shared" ref="K21" si="33">SUM(K17:K20)</f>
        <v>2183.0950659133709</v>
      </c>
      <c r="L21" s="80">
        <f t="shared" si="25"/>
        <v>6527.8506777340372</v>
      </c>
      <c r="M21" s="111"/>
      <c r="N21" s="112">
        <f t="shared" si="26"/>
        <v>0.17390702024178761</v>
      </c>
      <c r="O21" s="113"/>
      <c r="P21" s="113"/>
      <c r="R21" s="79">
        <f>SUM(R17:R20)</f>
        <v>1553.3919047619047</v>
      </c>
      <c r="S21" s="79">
        <f t="shared" ref="S21" si="34">SUM(S17:S20)</f>
        <v>1895.8146468926554</v>
      </c>
      <c r="T21" s="79">
        <f t="shared" ref="T21" si="35">SUM(T17:T20)</f>
        <v>1576.9780839412015</v>
      </c>
      <c r="U21" s="79">
        <f t="shared" ref="U21" si="36">SUM(U17:U20)</f>
        <v>2596.1867947269302</v>
      </c>
      <c r="V21" s="80">
        <f t="shared" si="27"/>
        <v>7622.3714303226916</v>
      </c>
    </row>
    <row r="23" spans="2:22" ht="4.5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5" spans="2:22" ht="12" x14ac:dyDescent="0.25">
      <c r="R25" s="74" t="s">
        <v>47</v>
      </c>
      <c r="S25" s="74"/>
      <c r="T25" s="74"/>
      <c r="U25" s="74"/>
      <c r="V25" s="74"/>
    </row>
    <row r="26" spans="2:22" ht="3.75" customHeight="1" x14ac:dyDescent="0.2"/>
    <row r="27" spans="2:22" ht="12.6" thickBot="1" x14ac:dyDescent="0.3">
      <c r="B27" s="33" t="s">
        <v>135</v>
      </c>
      <c r="C27" s="41" t="s">
        <v>14</v>
      </c>
      <c r="D27" s="41" t="s">
        <v>15</v>
      </c>
      <c r="E27" s="41" t="s">
        <v>16</v>
      </c>
      <c r="F27" s="41" t="s">
        <v>17</v>
      </c>
      <c r="G27" s="41" t="s">
        <v>101</v>
      </c>
      <c r="H27" s="41" t="s">
        <v>14</v>
      </c>
      <c r="I27" s="41" t="s">
        <v>15</v>
      </c>
      <c r="J27" s="41" t="s">
        <v>16</v>
      </c>
      <c r="K27" s="41" t="s">
        <v>17</v>
      </c>
      <c r="L27" s="41" t="s">
        <v>112</v>
      </c>
      <c r="M27" s="21"/>
      <c r="N27" s="64" t="s">
        <v>62</v>
      </c>
      <c r="O27" s="21"/>
      <c r="P27" s="23" t="s">
        <v>143</v>
      </c>
      <c r="R27" s="41" t="s">
        <v>14</v>
      </c>
      <c r="S27" s="41" t="s">
        <v>15</v>
      </c>
      <c r="T27" s="41" t="s">
        <v>16</v>
      </c>
      <c r="U27" s="41" t="s">
        <v>17</v>
      </c>
      <c r="V27" s="41" t="s">
        <v>123</v>
      </c>
    </row>
    <row r="28" spans="2:22" x14ac:dyDescent="0.2">
      <c r="B28" s="2" t="s">
        <v>43</v>
      </c>
      <c r="C28" s="134">
        <v>12.5</v>
      </c>
      <c r="D28" s="134">
        <v>13.2</v>
      </c>
      <c r="E28" s="134">
        <v>13.4</v>
      </c>
      <c r="F28" s="134">
        <v>15.8</v>
      </c>
      <c r="G28" s="135">
        <f>G48/G8</f>
        <v>13.515335367511099</v>
      </c>
      <c r="H28" s="134">
        <v>11.4</v>
      </c>
      <c r="I28" s="134">
        <v>12.3</v>
      </c>
      <c r="J28" s="134">
        <v>13.8</v>
      </c>
      <c r="K28" s="134">
        <v>21.3</v>
      </c>
      <c r="L28" s="135">
        <f>L48/L8</f>
        <v>14.661745522726118</v>
      </c>
      <c r="M28" s="18"/>
      <c r="N28" s="65">
        <f>L28/G28-1</f>
        <v>8.482291589824853E-2</v>
      </c>
      <c r="O28" s="22"/>
      <c r="P28" s="22">
        <v>0.09</v>
      </c>
      <c r="R28" s="137">
        <f t="shared" ref="R28:R31" si="37">($P28+1)*(H28)</f>
        <v>12.426000000000002</v>
      </c>
      <c r="S28" s="137">
        <f t="shared" ref="S28:S31" si="38">($P28+1)*(I28)</f>
        <v>13.407000000000002</v>
      </c>
      <c r="T28" s="137">
        <f t="shared" ref="T28:T31" si="39">($P28+1)*(J28)</f>
        <v>15.042000000000002</v>
      </c>
      <c r="U28" s="137">
        <f t="shared" ref="U28:U31" si="40">($P28+1)*(K28)</f>
        <v>23.217000000000002</v>
      </c>
      <c r="V28" s="138">
        <f t="shared" ref="V28" si="41">V48/V8</f>
        <v>15.981302619771473</v>
      </c>
    </row>
    <row r="29" spans="2:22" x14ac:dyDescent="0.2">
      <c r="B29" s="2" t="s">
        <v>44</v>
      </c>
      <c r="C29" s="134">
        <v>16.399999999999999</v>
      </c>
      <c r="D29" s="134">
        <v>16.100000000000001</v>
      </c>
      <c r="E29" s="134">
        <v>16.7</v>
      </c>
      <c r="F29" s="134">
        <v>19.8</v>
      </c>
      <c r="G29" s="135">
        <f t="shared" ref="G29:G31" si="42">G49/G9</f>
        <v>17.594523518510091</v>
      </c>
      <c r="H29" s="134">
        <v>18.399999999999999</v>
      </c>
      <c r="I29" s="134">
        <v>19.3</v>
      </c>
      <c r="J29" s="134">
        <v>16.899999999999999</v>
      </c>
      <c r="K29" s="134">
        <v>20.100000000000001</v>
      </c>
      <c r="L29" s="135">
        <f t="shared" ref="L29:L31" si="43">L49/L9</f>
        <v>18.876521062285171</v>
      </c>
      <c r="M29" s="18"/>
      <c r="N29" s="65">
        <f t="shared" ref="N29:N32" si="44">L29/G29-1</f>
        <v>7.286344199241146E-2</v>
      </c>
      <c r="O29" s="22"/>
      <c r="P29" s="22">
        <v>0.06</v>
      </c>
      <c r="R29" s="137">
        <f t="shared" si="37"/>
        <v>19.503999999999998</v>
      </c>
      <c r="S29" s="137">
        <f t="shared" si="38"/>
        <v>20.458000000000002</v>
      </c>
      <c r="T29" s="137">
        <f t="shared" si="39"/>
        <v>17.913999999999998</v>
      </c>
      <c r="U29" s="137">
        <f t="shared" si="40"/>
        <v>21.306000000000001</v>
      </c>
      <c r="V29" s="138">
        <f t="shared" ref="V29" si="45">V49/V9</f>
        <v>20.009112326022287</v>
      </c>
    </row>
    <row r="30" spans="2:22" x14ac:dyDescent="0.2">
      <c r="B30" s="2" t="s">
        <v>45</v>
      </c>
      <c r="C30" s="134">
        <v>28.1</v>
      </c>
      <c r="D30" s="134">
        <v>25.9</v>
      </c>
      <c r="E30" s="134">
        <v>22.1</v>
      </c>
      <c r="F30" s="134">
        <v>13.6</v>
      </c>
      <c r="G30" s="135">
        <f t="shared" si="42"/>
        <v>20.323443688277134</v>
      </c>
      <c r="H30" s="134">
        <v>18.3</v>
      </c>
      <c r="I30" s="134">
        <v>15.3</v>
      </c>
      <c r="J30" s="134">
        <v>12.4</v>
      </c>
      <c r="K30" s="134">
        <v>8.3000000000000007</v>
      </c>
      <c r="L30" s="135">
        <f t="shared" si="43"/>
        <v>11.428841168793529</v>
      </c>
      <c r="M30" s="18"/>
      <c r="N30" s="65">
        <f t="shared" si="44"/>
        <v>-0.43765233175586993</v>
      </c>
      <c r="O30" s="22"/>
      <c r="P30" s="22">
        <v>-0.3</v>
      </c>
      <c r="R30" s="137">
        <f t="shared" si="37"/>
        <v>12.81</v>
      </c>
      <c r="S30" s="137">
        <f t="shared" si="38"/>
        <v>10.709999999999999</v>
      </c>
      <c r="T30" s="137">
        <f t="shared" si="39"/>
        <v>8.68</v>
      </c>
      <c r="U30" s="137">
        <f t="shared" si="40"/>
        <v>5.8100000000000005</v>
      </c>
      <c r="V30" s="138">
        <f t="shared" ref="V30" si="46">V50/V10</f>
        <v>8.0001888181554683</v>
      </c>
    </row>
    <row r="31" spans="2:22" x14ac:dyDescent="0.2">
      <c r="B31" s="2" t="s">
        <v>46</v>
      </c>
      <c r="C31" s="134">
        <v>13.5</v>
      </c>
      <c r="D31" s="134">
        <v>13.5</v>
      </c>
      <c r="E31" s="134">
        <v>14.5</v>
      </c>
      <c r="F31" s="134">
        <v>17.600000000000001</v>
      </c>
      <c r="G31" s="135">
        <f t="shared" si="42"/>
        <v>14.931400876083133</v>
      </c>
      <c r="H31" s="134">
        <v>15.1</v>
      </c>
      <c r="I31" s="134">
        <v>15.5</v>
      </c>
      <c r="J31" s="134">
        <v>13.9</v>
      </c>
      <c r="K31" s="134">
        <v>18.100000000000001</v>
      </c>
      <c r="L31" s="135">
        <f t="shared" si="43"/>
        <v>15.107353225742209</v>
      </c>
      <c r="M31" s="18"/>
      <c r="N31" s="65">
        <f t="shared" si="44"/>
        <v>1.1784048336744624E-2</v>
      </c>
      <c r="O31" s="22"/>
      <c r="P31" s="22">
        <v>0.01</v>
      </c>
      <c r="R31" s="137">
        <f t="shared" si="37"/>
        <v>15.250999999999999</v>
      </c>
      <c r="S31" s="137">
        <f t="shared" si="38"/>
        <v>15.654999999999999</v>
      </c>
      <c r="T31" s="137">
        <f t="shared" si="39"/>
        <v>14.039</v>
      </c>
      <c r="U31" s="137">
        <f t="shared" si="40"/>
        <v>18.281000000000002</v>
      </c>
      <c r="V31" s="138">
        <f t="shared" ref="V31" si="47">V51/V11</f>
        <v>15.258426757999633</v>
      </c>
    </row>
    <row r="32" spans="2:22" s="10" customFormat="1" ht="12.6" thickBot="1" x14ac:dyDescent="0.3">
      <c r="B32" s="78" t="s">
        <v>137</v>
      </c>
      <c r="C32" s="136">
        <f>AVERAGE(C28:C31)</f>
        <v>17.625</v>
      </c>
      <c r="D32" s="136">
        <f t="shared" ref="D32:L32" si="48">AVERAGE(D28:D31)</f>
        <v>17.175000000000001</v>
      </c>
      <c r="E32" s="136">
        <f t="shared" si="48"/>
        <v>16.675000000000001</v>
      </c>
      <c r="F32" s="136">
        <f t="shared" si="48"/>
        <v>16.700000000000003</v>
      </c>
      <c r="G32" s="136">
        <f t="shared" si="48"/>
        <v>16.591175862595364</v>
      </c>
      <c r="H32" s="136">
        <f t="shared" si="48"/>
        <v>15.799999999999999</v>
      </c>
      <c r="I32" s="136">
        <f t="shared" si="48"/>
        <v>15.600000000000001</v>
      </c>
      <c r="J32" s="136">
        <f t="shared" si="48"/>
        <v>14.25</v>
      </c>
      <c r="K32" s="136">
        <f t="shared" si="48"/>
        <v>16.950000000000003</v>
      </c>
      <c r="L32" s="136">
        <f t="shared" si="48"/>
        <v>15.018615244886755</v>
      </c>
      <c r="M32" s="114"/>
      <c r="N32" s="112">
        <f t="shared" si="44"/>
        <v>-9.478295153593852E-2</v>
      </c>
      <c r="O32" s="113"/>
      <c r="P32" s="113"/>
      <c r="R32" s="139">
        <f>R52/R12</f>
        <v>14.933259772918959</v>
      </c>
      <c r="S32" s="139">
        <f t="shared" ref="S32:V32" si="49">S52/S12</f>
        <v>14.809475703222949</v>
      </c>
      <c r="T32" s="139">
        <f t="shared" si="49"/>
        <v>13.899166634739309</v>
      </c>
      <c r="U32" s="139">
        <f t="shared" si="49"/>
        <v>15.149123761946774</v>
      </c>
      <c r="V32" s="140">
        <f t="shared" si="49"/>
        <v>14.717593998102981</v>
      </c>
    </row>
    <row r="33" spans="2:22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22" ht="12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R34" s="74" t="s">
        <v>47</v>
      </c>
      <c r="S34" s="74"/>
      <c r="T34" s="74"/>
      <c r="U34" s="74"/>
      <c r="V34" s="74"/>
    </row>
    <row r="35" spans="2:22" ht="3.75" customHeight="1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22" ht="12.6" thickBot="1" x14ac:dyDescent="0.3">
      <c r="B36" s="33" t="s">
        <v>50</v>
      </c>
      <c r="C36" s="41" t="s">
        <v>14</v>
      </c>
      <c r="D36" s="41" t="s">
        <v>15</v>
      </c>
      <c r="E36" s="41" t="s">
        <v>16</v>
      </c>
      <c r="F36" s="41" t="s">
        <v>17</v>
      </c>
      <c r="G36" s="41" t="s">
        <v>101</v>
      </c>
      <c r="H36" s="41" t="s">
        <v>14</v>
      </c>
      <c r="I36" s="41" t="s">
        <v>15</v>
      </c>
      <c r="J36" s="41" t="s">
        <v>16</v>
      </c>
      <c r="K36" s="41" t="s">
        <v>17</v>
      </c>
      <c r="L36" s="41" t="s">
        <v>112</v>
      </c>
      <c r="M36" s="21"/>
      <c r="N36" s="64" t="s">
        <v>62</v>
      </c>
      <c r="O36" s="21"/>
      <c r="P36" s="23" t="s">
        <v>143</v>
      </c>
      <c r="R36" s="41" t="s">
        <v>14</v>
      </c>
      <c r="S36" s="41" t="s">
        <v>15</v>
      </c>
      <c r="T36" s="41" t="s">
        <v>16</v>
      </c>
      <c r="U36" s="41" t="s">
        <v>17</v>
      </c>
      <c r="V36" s="41" t="s">
        <v>123</v>
      </c>
    </row>
    <row r="37" spans="2:22" x14ac:dyDescent="0.2">
      <c r="B37" s="2" t="s">
        <v>43</v>
      </c>
      <c r="C37" s="141">
        <v>5.4</v>
      </c>
      <c r="D37" s="141">
        <v>5.0999999999999996</v>
      </c>
      <c r="E37" s="141">
        <v>5.3</v>
      </c>
      <c r="F37" s="141">
        <v>5.5</v>
      </c>
      <c r="G37" s="138">
        <f t="shared" ref="F37:G41" si="50">G57/G17</f>
        <v>5.3130623409595579</v>
      </c>
      <c r="H37" s="141">
        <v>4.9000000000000004</v>
      </c>
      <c r="I37" s="141">
        <v>4.8</v>
      </c>
      <c r="J37" s="141">
        <v>5.3</v>
      </c>
      <c r="K37" s="141">
        <v>5.5</v>
      </c>
      <c r="L37" s="138">
        <f t="shared" ref="L37:L41" si="51">L57/L17</f>
        <v>5.1476688491378084</v>
      </c>
      <c r="M37" s="18"/>
      <c r="N37" s="65">
        <f>L37/G37-1</f>
        <v>-3.1129597435116674E-2</v>
      </c>
      <c r="O37" s="22"/>
      <c r="P37" s="22">
        <v>-0.02</v>
      </c>
      <c r="R37" s="137">
        <f t="shared" ref="R37:R40" si="52">($P37+1)*(H37)</f>
        <v>4.8020000000000005</v>
      </c>
      <c r="S37" s="137">
        <f t="shared" ref="S37:S40" si="53">($P37+1)*(I37)</f>
        <v>4.7039999999999997</v>
      </c>
      <c r="T37" s="137">
        <f t="shared" ref="T37:T40" si="54">($P37+1)*(J37)</f>
        <v>5.194</v>
      </c>
      <c r="U37" s="137">
        <f t="shared" ref="U37:V40" si="55">($P37+1)*(K37)</f>
        <v>5.39</v>
      </c>
      <c r="V37" s="138">
        <f t="shared" si="55"/>
        <v>5.044715472155052</v>
      </c>
    </row>
    <row r="38" spans="2:22" x14ac:dyDescent="0.2">
      <c r="B38" s="2" t="s">
        <v>44</v>
      </c>
      <c r="C38" s="141">
        <v>4.5</v>
      </c>
      <c r="D38" s="141">
        <v>5.4</v>
      </c>
      <c r="E38" s="141">
        <v>5.7</v>
      </c>
      <c r="F38" s="141">
        <v>6.1</v>
      </c>
      <c r="G38" s="138">
        <f t="shared" si="50"/>
        <v>5.3980797062330312</v>
      </c>
      <c r="H38" s="141">
        <v>4.5</v>
      </c>
      <c r="I38" s="141">
        <v>5.9</v>
      </c>
      <c r="J38" s="141">
        <v>5.3</v>
      </c>
      <c r="K38" s="141">
        <v>5.9</v>
      </c>
      <c r="L38" s="138">
        <f t="shared" si="51"/>
        <v>5.4126441673813881</v>
      </c>
      <c r="M38" s="18"/>
      <c r="N38" s="65">
        <f t="shared" ref="N38:N41" si="56">L38/G38-1</f>
        <v>2.6980818996689138E-3</v>
      </c>
      <c r="O38" s="22"/>
      <c r="P38" s="22">
        <v>0</v>
      </c>
      <c r="R38" s="137">
        <f t="shared" si="52"/>
        <v>4.5</v>
      </c>
      <c r="S38" s="137">
        <f t="shared" si="53"/>
        <v>5.9</v>
      </c>
      <c r="T38" s="137">
        <f t="shared" si="54"/>
        <v>5.3</v>
      </c>
      <c r="U38" s="137">
        <f t="shared" si="55"/>
        <v>5.9</v>
      </c>
      <c r="V38" s="138">
        <f t="shared" si="55"/>
        <v>5.4126441673813881</v>
      </c>
    </row>
    <row r="39" spans="2:22" x14ac:dyDescent="0.2">
      <c r="B39" s="2" t="s">
        <v>45</v>
      </c>
      <c r="C39" s="141">
        <v>3.1</v>
      </c>
      <c r="D39" s="141">
        <v>3.2</v>
      </c>
      <c r="E39" s="141">
        <v>2.8</v>
      </c>
      <c r="F39" s="141">
        <v>2.9</v>
      </c>
      <c r="G39" s="138">
        <f t="shared" si="50"/>
        <v>2.991793878298894</v>
      </c>
      <c r="H39" s="141">
        <v>2.7</v>
      </c>
      <c r="I39" s="141">
        <v>2.5</v>
      </c>
      <c r="J39" s="141">
        <v>2.2999999999999998</v>
      </c>
      <c r="K39" s="141">
        <v>2.1</v>
      </c>
      <c r="L39" s="138">
        <f t="shared" si="51"/>
        <v>2.3262513137963867</v>
      </c>
      <c r="M39" s="18"/>
      <c r="N39" s="65">
        <f t="shared" si="56"/>
        <v>-0.222456021897113</v>
      </c>
      <c r="O39" s="22"/>
      <c r="P39" s="22">
        <v>-0.15</v>
      </c>
      <c r="R39" s="137">
        <f t="shared" si="52"/>
        <v>2.2949999999999999</v>
      </c>
      <c r="S39" s="137">
        <f t="shared" si="53"/>
        <v>2.125</v>
      </c>
      <c r="T39" s="137">
        <f t="shared" si="54"/>
        <v>1.9549999999999998</v>
      </c>
      <c r="U39" s="137">
        <f t="shared" si="55"/>
        <v>1.7849999999999999</v>
      </c>
      <c r="V39" s="138">
        <f t="shared" si="55"/>
        <v>1.9773136167269287</v>
      </c>
    </row>
    <row r="40" spans="2:22" x14ac:dyDescent="0.2">
      <c r="B40" s="2" t="s">
        <v>46</v>
      </c>
      <c r="C40" s="141">
        <v>6.1</v>
      </c>
      <c r="D40" s="141">
        <v>6.4</v>
      </c>
      <c r="E40" s="141">
        <v>6.5</v>
      </c>
      <c r="F40" s="141">
        <v>5.8</v>
      </c>
      <c r="G40" s="138">
        <f t="shared" si="50"/>
        <v>6.1617515238019944</v>
      </c>
      <c r="H40" s="141">
        <v>7.1</v>
      </c>
      <c r="I40" s="141">
        <v>7.2</v>
      </c>
      <c r="J40" s="141">
        <v>7.4</v>
      </c>
      <c r="K40" s="141">
        <v>8.1</v>
      </c>
      <c r="L40" s="138">
        <f t="shared" si="51"/>
        <v>7.4173997119156843</v>
      </c>
      <c r="M40" s="18"/>
      <c r="N40" s="65">
        <f t="shared" si="56"/>
        <v>0.20378104882407122</v>
      </c>
      <c r="O40" s="22"/>
      <c r="P40" s="22">
        <v>0.15</v>
      </c>
      <c r="R40" s="137">
        <f t="shared" si="52"/>
        <v>8.1649999999999991</v>
      </c>
      <c r="S40" s="137">
        <f t="shared" si="53"/>
        <v>8.2799999999999994</v>
      </c>
      <c r="T40" s="137">
        <f t="shared" si="54"/>
        <v>8.51</v>
      </c>
      <c r="U40" s="137">
        <f t="shared" si="55"/>
        <v>9.3149999999999995</v>
      </c>
      <c r="V40" s="138">
        <f t="shared" si="55"/>
        <v>8.5300096687030358</v>
      </c>
    </row>
    <row r="41" spans="2:22" s="10" customFormat="1" ht="12.6" thickBot="1" x14ac:dyDescent="0.3">
      <c r="B41" s="78" t="s">
        <v>51</v>
      </c>
      <c r="C41" s="139">
        <f>AVERAGE(C37:C40)</f>
        <v>4.7750000000000004</v>
      </c>
      <c r="D41" s="139">
        <f t="shared" ref="D41:F41" si="57">AVERAGE(D37:D40)</f>
        <v>5.0250000000000004</v>
      </c>
      <c r="E41" s="139">
        <f t="shared" si="57"/>
        <v>5.0750000000000002</v>
      </c>
      <c r="F41" s="139">
        <f t="shared" si="57"/>
        <v>5.0750000000000002</v>
      </c>
      <c r="G41" s="140">
        <f t="shared" si="50"/>
        <v>5.0611511826360047</v>
      </c>
      <c r="H41" s="139">
        <f>AVERAGE(H37:H40)</f>
        <v>4.8000000000000007</v>
      </c>
      <c r="I41" s="139">
        <f t="shared" ref="I41:K41" si="58">AVERAGE(I37:I40)</f>
        <v>5.0999999999999996</v>
      </c>
      <c r="J41" s="139">
        <f t="shared" si="58"/>
        <v>5.0749999999999993</v>
      </c>
      <c r="K41" s="139">
        <f t="shared" si="58"/>
        <v>5.4</v>
      </c>
      <c r="L41" s="140">
        <f t="shared" si="51"/>
        <v>4.3602406680479007</v>
      </c>
      <c r="M41" s="114"/>
      <c r="N41" s="112">
        <f t="shared" si="56"/>
        <v>-0.13848835754853861</v>
      </c>
      <c r="O41" s="113"/>
      <c r="P41" s="113"/>
      <c r="R41" s="139">
        <f>R61/R21</f>
        <v>4.4108479379839451</v>
      </c>
      <c r="S41" s="139">
        <f>S61/S21</f>
        <v>4.3545318175123455</v>
      </c>
      <c r="T41" s="139">
        <f>T61/T21</f>
        <v>4.0627452247071831</v>
      </c>
      <c r="U41" s="139">
        <f>U61/U21</f>
        <v>3.8334216899238149</v>
      </c>
      <c r="V41" s="139">
        <f>V61/V21</f>
        <v>4.1281509196499337</v>
      </c>
    </row>
    <row r="42" spans="2:22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22" ht="3.75" customHeight="1" x14ac:dyDescent="0.2"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2"/>
      <c r="R43" s="12"/>
      <c r="S43" s="12"/>
      <c r="T43" s="12"/>
      <c r="U43" s="12"/>
      <c r="V43" s="12"/>
    </row>
    <row r="44" spans="2:22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22" ht="12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R45" s="74" t="s">
        <v>47</v>
      </c>
      <c r="S45" s="74"/>
      <c r="T45" s="74"/>
      <c r="U45" s="74"/>
      <c r="V45" s="74"/>
    </row>
    <row r="46" spans="2:22" ht="3.75" customHeight="1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22" ht="12.6" thickBot="1" x14ac:dyDescent="0.3">
      <c r="B47" s="33" t="s">
        <v>145</v>
      </c>
      <c r="C47" s="41" t="s">
        <v>14</v>
      </c>
      <c r="D47" s="41" t="s">
        <v>15</v>
      </c>
      <c r="E47" s="41" t="s">
        <v>16</v>
      </c>
      <c r="F47" s="41" t="s">
        <v>17</v>
      </c>
      <c r="G47" s="41" t="s">
        <v>101</v>
      </c>
      <c r="H47" s="41" t="s">
        <v>14</v>
      </c>
      <c r="I47" s="41" t="s">
        <v>15</v>
      </c>
      <c r="J47" s="41" t="s">
        <v>16</v>
      </c>
      <c r="K47" s="41" t="s">
        <v>17</v>
      </c>
      <c r="L47" s="41" t="s">
        <v>112</v>
      </c>
      <c r="M47" s="21"/>
      <c r="N47" s="64" t="s">
        <v>62</v>
      </c>
      <c r="O47" s="21"/>
      <c r="P47" s="21"/>
      <c r="R47" s="41" t="s">
        <v>14</v>
      </c>
      <c r="S47" s="41" t="s">
        <v>15</v>
      </c>
      <c r="T47" s="41" t="s">
        <v>16</v>
      </c>
      <c r="U47" s="41" t="s">
        <v>17</v>
      </c>
      <c r="V47" s="41" t="s">
        <v>123</v>
      </c>
    </row>
    <row r="48" spans="2:22" x14ac:dyDescent="0.2">
      <c r="B48" s="2" t="s">
        <v>43</v>
      </c>
      <c r="C48" s="142">
        <v>6069.36</v>
      </c>
      <c r="D48" s="142">
        <v>6776.48</v>
      </c>
      <c r="E48" s="142">
        <v>5469.6</v>
      </c>
      <c r="F48" s="142">
        <v>4854.5</v>
      </c>
      <c r="G48" s="143">
        <f>SUM(C48:F48)</f>
        <v>23169.940000000002</v>
      </c>
      <c r="H48" s="142">
        <v>4267.38</v>
      </c>
      <c r="I48" s="142">
        <v>5677.8</v>
      </c>
      <c r="J48" s="142">
        <v>5774.2999999999993</v>
      </c>
      <c r="K48" s="142">
        <v>8572.8000000000011</v>
      </c>
      <c r="L48" s="143">
        <f>SUM(H48:K48)</f>
        <v>24292.28</v>
      </c>
      <c r="M48" s="15"/>
      <c r="N48" s="65">
        <f>L48/G48-1</f>
        <v>4.8439486679723753E-2</v>
      </c>
      <c r="O48" s="22"/>
      <c r="P48" s="22"/>
      <c r="R48" s="146">
        <f>R28*R8</f>
        <v>4651.4442000000008</v>
      </c>
      <c r="S48" s="146">
        <f t="shared" ref="S48:U48" si="59">S28*S8</f>
        <v>6188.8020000000006</v>
      </c>
      <c r="T48" s="146">
        <f t="shared" si="59"/>
        <v>6293.9870000000001</v>
      </c>
      <c r="U48" s="146">
        <f t="shared" si="59"/>
        <v>9344.3520000000026</v>
      </c>
      <c r="V48" s="147">
        <f>SUM(R48:U48)</f>
        <v>26478.585200000005</v>
      </c>
    </row>
    <row r="49" spans="2:22" x14ac:dyDescent="0.2">
      <c r="B49" s="2" t="s">
        <v>44</v>
      </c>
      <c r="C49" s="142">
        <v>3034.68</v>
      </c>
      <c r="D49" s="142">
        <v>3801.44</v>
      </c>
      <c r="E49" s="142">
        <v>3418.5</v>
      </c>
      <c r="F49" s="142">
        <v>6796.2999999999993</v>
      </c>
      <c r="G49" s="143">
        <f t="shared" ref="G49:G51" si="60">SUM(C49:F49)</f>
        <v>17050.919999999998</v>
      </c>
      <c r="H49" s="142">
        <v>4103.25</v>
      </c>
      <c r="I49" s="142">
        <v>3974.46</v>
      </c>
      <c r="J49" s="142">
        <v>3629.56</v>
      </c>
      <c r="K49" s="142">
        <v>7286.88</v>
      </c>
      <c r="L49" s="143">
        <f t="shared" ref="L49:L51" si="61">SUM(H49:K49)</f>
        <v>18994.150000000001</v>
      </c>
      <c r="M49" s="15"/>
      <c r="N49" s="65">
        <f t="shared" ref="N49:N52" si="62">L49/G49-1</f>
        <v>0.11396628451719937</v>
      </c>
      <c r="O49" s="22"/>
      <c r="P49" s="22"/>
      <c r="R49" s="146">
        <f t="shared" ref="R49:U49" si="63">R29*R9</f>
        <v>4514.7239100000006</v>
      </c>
      <c r="S49" s="146">
        <f t="shared" si="63"/>
        <v>4373.0188488000003</v>
      </c>
      <c r="T49" s="146">
        <f t="shared" si="63"/>
        <v>3993.5322768000001</v>
      </c>
      <c r="U49" s="146">
        <f t="shared" si="63"/>
        <v>8017.6083263999999</v>
      </c>
      <c r="V49" s="147">
        <f t="shared" ref="V49:V52" si="64">SUM(R49:U49)</f>
        <v>20898.883362</v>
      </c>
    </row>
    <row r="50" spans="2:22" x14ac:dyDescent="0.2">
      <c r="B50" s="2" t="s">
        <v>45</v>
      </c>
      <c r="C50" s="142">
        <v>1379.4</v>
      </c>
      <c r="D50" s="142">
        <v>1487.52</v>
      </c>
      <c r="E50" s="142">
        <v>820.43999999999994</v>
      </c>
      <c r="F50" s="142">
        <v>1553.44</v>
      </c>
      <c r="G50" s="143">
        <f t="shared" si="60"/>
        <v>5240.8</v>
      </c>
      <c r="H50" s="142">
        <v>1805.43</v>
      </c>
      <c r="I50" s="142">
        <v>2838.9</v>
      </c>
      <c r="J50" s="142">
        <v>2804.6600000000003</v>
      </c>
      <c r="K50" s="142">
        <v>4286.4000000000005</v>
      </c>
      <c r="L50" s="143">
        <f t="shared" si="61"/>
        <v>11735.39</v>
      </c>
      <c r="M50" s="15"/>
      <c r="N50" s="65">
        <f t="shared" si="62"/>
        <v>1.2392363761257821</v>
      </c>
      <c r="O50" s="22"/>
      <c r="P50" s="22"/>
      <c r="R50" s="146">
        <f t="shared" ref="R50:U50" si="65">R30*R10</f>
        <v>1516.5612000000001</v>
      </c>
      <c r="S50" s="146">
        <f t="shared" si="65"/>
        <v>2384.6759999999995</v>
      </c>
      <c r="T50" s="146">
        <f t="shared" si="65"/>
        <v>2355.9144000000001</v>
      </c>
      <c r="U50" s="146">
        <f t="shared" si="65"/>
        <v>3600.576</v>
      </c>
      <c r="V50" s="147">
        <f t="shared" si="64"/>
        <v>9857.7275999999983</v>
      </c>
    </row>
    <row r="51" spans="2:22" x14ac:dyDescent="0.2">
      <c r="B51" s="2" t="s">
        <v>46</v>
      </c>
      <c r="C51" s="142">
        <v>3310.5600000000009</v>
      </c>
      <c r="D51" s="142">
        <v>4462.5600000000013</v>
      </c>
      <c r="E51" s="142">
        <v>3965.4599999999991</v>
      </c>
      <c r="F51" s="142">
        <v>6213.7600000000011</v>
      </c>
      <c r="G51" s="143">
        <f t="shared" si="60"/>
        <v>17952.340000000004</v>
      </c>
      <c r="H51" s="142">
        <v>6236.9400000000005</v>
      </c>
      <c r="I51" s="142">
        <v>6434.84</v>
      </c>
      <c r="J51" s="142">
        <v>4289.4800000000005</v>
      </c>
      <c r="K51" s="142">
        <v>1285.9199999999998</v>
      </c>
      <c r="L51" s="143">
        <f t="shared" si="61"/>
        <v>18247.18</v>
      </c>
      <c r="M51" s="15"/>
      <c r="N51" s="65">
        <f t="shared" si="62"/>
        <v>1.6423485740577393E-2</v>
      </c>
      <c r="O51" s="22"/>
      <c r="P51" s="22"/>
      <c r="R51" s="146">
        <f t="shared" ref="R51:U51" si="66">R31*R11</f>
        <v>6330.8059469999998</v>
      </c>
      <c r="S51" s="146">
        <f t="shared" si="66"/>
        <v>6531.6843419999996</v>
      </c>
      <c r="T51" s="146">
        <f t="shared" si="66"/>
        <v>4354.0366739999999</v>
      </c>
      <c r="U51" s="146">
        <f t="shared" si="66"/>
        <v>1305.2730959999999</v>
      </c>
      <c r="V51" s="147">
        <f t="shared" si="64"/>
        <v>18521.800059000001</v>
      </c>
    </row>
    <row r="52" spans="2:22" s="10" customFormat="1" ht="12.6" thickBot="1" x14ac:dyDescent="0.3">
      <c r="B52" s="78" t="s">
        <v>138</v>
      </c>
      <c r="C52" s="144">
        <f>SUM(C48:C51)</f>
        <v>13794</v>
      </c>
      <c r="D52" s="144">
        <f t="shared" ref="D52:F52" si="67">SUM(D48:D51)</f>
        <v>16528</v>
      </c>
      <c r="E52" s="144">
        <f t="shared" si="67"/>
        <v>13674</v>
      </c>
      <c r="F52" s="144">
        <f t="shared" si="67"/>
        <v>19418</v>
      </c>
      <c r="G52" s="145">
        <f t="shared" ref="G52" si="68">SUM(G48:G51)</f>
        <v>63414.000000000007</v>
      </c>
      <c r="H52" s="144">
        <f>SUM(H48:H51)</f>
        <v>16413</v>
      </c>
      <c r="I52" s="144">
        <f t="shared" ref="I52" si="69">SUM(I48:I51)</f>
        <v>18926</v>
      </c>
      <c r="J52" s="144">
        <f t="shared" ref="J52" si="70">SUM(J48:J51)</f>
        <v>16498</v>
      </c>
      <c r="K52" s="144">
        <f t="shared" ref="K52" si="71">SUM(K48:K51)</f>
        <v>21432</v>
      </c>
      <c r="L52" s="145">
        <f t="shared" ref="L52" si="72">SUM(L48:L51)</f>
        <v>73269</v>
      </c>
      <c r="M52" s="111"/>
      <c r="N52" s="112">
        <f t="shared" si="62"/>
        <v>0.15540732330400209</v>
      </c>
      <c r="O52" s="113"/>
      <c r="P52" s="113"/>
      <c r="R52" s="148">
        <f>SUM(R48:R51)</f>
        <v>17013.535257000003</v>
      </c>
      <c r="S52" s="148">
        <f t="shared" ref="S52:U52" si="73">SUM(S48:S51)</f>
        <v>19478.181190800002</v>
      </c>
      <c r="T52" s="148">
        <f t="shared" si="73"/>
        <v>16997.470350799998</v>
      </c>
      <c r="U52" s="148">
        <f t="shared" si="73"/>
        <v>22267.809422400005</v>
      </c>
      <c r="V52" s="149">
        <f t="shared" si="64"/>
        <v>75756.996221000009</v>
      </c>
    </row>
    <row r="53" spans="2:22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22" ht="12" x14ac:dyDescent="0.2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R54" s="74" t="s">
        <v>47</v>
      </c>
      <c r="S54" s="74"/>
      <c r="T54" s="74"/>
      <c r="U54" s="74"/>
      <c r="V54" s="74"/>
    </row>
    <row r="55" spans="2:22" ht="3.75" customHeight="1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22" ht="12.6" thickBot="1" x14ac:dyDescent="0.3">
      <c r="B56" s="33" t="s">
        <v>146</v>
      </c>
      <c r="C56" s="41" t="s">
        <v>14</v>
      </c>
      <c r="D56" s="41" t="s">
        <v>15</v>
      </c>
      <c r="E56" s="41" t="s">
        <v>16</v>
      </c>
      <c r="F56" s="41" t="s">
        <v>17</v>
      </c>
      <c r="G56" s="41" t="s">
        <v>101</v>
      </c>
      <c r="H56" s="41" t="s">
        <v>14</v>
      </c>
      <c r="I56" s="41" t="s">
        <v>15</v>
      </c>
      <c r="J56" s="41" t="s">
        <v>16</v>
      </c>
      <c r="K56" s="41" t="s">
        <v>17</v>
      </c>
      <c r="L56" s="41" t="s">
        <v>112</v>
      </c>
      <c r="M56" s="21"/>
      <c r="N56" s="64" t="s">
        <v>62</v>
      </c>
      <c r="O56" s="21"/>
      <c r="P56" s="21"/>
      <c r="R56" s="41" t="s">
        <v>14</v>
      </c>
      <c r="S56" s="41" t="s">
        <v>15</v>
      </c>
      <c r="T56" s="41" t="s">
        <v>16</v>
      </c>
      <c r="U56" s="41" t="s">
        <v>17</v>
      </c>
      <c r="V56" s="41" t="s">
        <v>123</v>
      </c>
    </row>
    <row r="57" spans="2:22" x14ac:dyDescent="0.2">
      <c r="B57" s="2" t="s">
        <v>43</v>
      </c>
      <c r="C57" s="142">
        <v>2071.42</v>
      </c>
      <c r="D57" s="142">
        <v>2360.6</v>
      </c>
      <c r="E57" s="142">
        <v>1412.3700000000001</v>
      </c>
      <c r="F57" s="142">
        <v>2022.75</v>
      </c>
      <c r="G57" s="143">
        <f>SUM(C57:F57)</f>
        <v>7867.14</v>
      </c>
      <c r="H57" s="142">
        <v>1729.5600000000002</v>
      </c>
      <c r="I57" s="142">
        <v>2163.3999999999996</v>
      </c>
      <c r="J57" s="142">
        <v>1856.96</v>
      </c>
      <c r="K57" s="142">
        <v>2977.59</v>
      </c>
      <c r="L57" s="143">
        <f>SUM(H57:K57)</f>
        <v>8727.51</v>
      </c>
      <c r="M57" s="15"/>
      <c r="N57" s="65">
        <f>L57/G57-1</f>
        <v>0.10936248751134459</v>
      </c>
      <c r="O57" s="22"/>
      <c r="P57" s="22"/>
      <c r="R57" s="146">
        <f t="shared" ref="R57:U57" si="74">R37*R17</f>
        <v>1864.4656800000005</v>
      </c>
      <c r="S57" s="146">
        <f t="shared" si="74"/>
        <v>2332.1451999999999</v>
      </c>
      <c r="T57" s="146">
        <f t="shared" si="74"/>
        <v>2001.8028800000002</v>
      </c>
      <c r="U57" s="146">
        <f t="shared" si="74"/>
        <v>3209.84202</v>
      </c>
      <c r="V57" s="147">
        <f>SUM(R57:U57)</f>
        <v>9408.2557799999995</v>
      </c>
    </row>
    <row r="58" spans="2:22" x14ac:dyDescent="0.2">
      <c r="B58" s="2" t="s">
        <v>44</v>
      </c>
      <c r="C58" s="142">
        <v>1470.04</v>
      </c>
      <c r="D58" s="142">
        <v>1872.2</v>
      </c>
      <c r="E58" s="142">
        <v>1307.75</v>
      </c>
      <c r="F58" s="142">
        <v>1941.84</v>
      </c>
      <c r="G58" s="143">
        <f t="shared" ref="G58:G60" si="75">SUM(C58:F58)</f>
        <v>6591.83</v>
      </c>
      <c r="H58" s="142">
        <v>1544.25</v>
      </c>
      <c r="I58" s="142">
        <v>2014.2</v>
      </c>
      <c r="J58" s="142">
        <v>1508.78</v>
      </c>
      <c r="K58" s="142">
        <v>2165.52</v>
      </c>
      <c r="L58" s="143">
        <f t="shared" ref="L58:L60" si="76">SUM(H58:K58)</f>
        <v>7232.75</v>
      </c>
      <c r="M58" s="15"/>
      <c r="N58" s="65">
        <f t="shared" ref="N58:N61" si="77">L58/G58-1</f>
        <v>9.7229449181790217E-2</v>
      </c>
      <c r="O58" s="22"/>
      <c r="P58" s="22"/>
      <c r="R58" s="146">
        <f t="shared" ref="R58:U58" si="78">R38*R18</f>
        <v>1698.6750000000004</v>
      </c>
      <c r="S58" s="146">
        <f t="shared" si="78"/>
        <v>2215.6200000000003</v>
      </c>
      <c r="T58" s="146">
        <f t="shared" si="78"/>
        <v>1659.6579999999999</v>
      </c>
      <c r="U58" s="146">
        <f t="shared" si="78"/>
        <v>2382.0720000000001</v>
      </c>
      <c r="V58" s="147">
        <f t="shared" ref="V58:V61" si="79">SUM(R58:U58)</f>
        <v>7956.0250000000015</v>
      </c>
    </row>
    <row r="59" spans="2:22" x14ac:dyDescent="0.2">
      <c r="B59" s="2" t="s">
        <v>45</v>
      </c>
      <c r="C59" s="142">
        <v>868.66000000000008</v>
      </c>
      <c r="D59" s="142">
        <v>895.4</v>
      </c>
      <c r="E59" s="142">
        <v>732.34</v>
      </c>
      <c r="F59" s="142">
        <v>1213.6499999999999</v>
      </c>
      <c r="G59" s="143">
        <f t="shared" si="75"/>
        <v>3710.05</v>
      </c>
      <c r="H59" s="142">
        <v>1111.8599999999999</v>
      </c>
      <c r="I59" s="142">
        <v>1492</v>
      </c>
      <c r="J59" s="142">
        <v>1276.6600000000001</v>
      </c>
      <c r="K59" s="142">
        <v>2255.75</v>
      </c>
      <c r="L59" s="143">
        <f t="shared" si="76"/>
        <v>6136.2699999999995</v>
      </c>
      <c r="M59" s="15"/>
      <c r="N59" s="65">
        <f t="shared" si="77"/>
        <v>0.65395884152504657</v>
      </c>
      <c r="O59" s="22"/>
      <c r="P59" s="22"/>
      <c r="R59" s="146">
        <f t="shared" ref="R59:U59" si="80">R39*R19</f>
        <v>1228.6052999999997</v>
      </c>
      <c r="S59" s="146">
        <f t="shared" si="80"/>
        <v>1648.6599999999999</v>
      </c>
      <c r="T59" s="146">
        <f t="shared" si="80"/>
        <v>1410.7093000000002</v>
      </c>
      <c r="U59" s="146">
        <f t="shared" si="80"/>
        <v>2492.6037499999998</v>
      </c>
      <c r="V59" s="147">
        <f t="shared" si="79"/>
        <v>6780.5783499999998</v>
      </c>
    </row>
    <row r="60" spans="2:22" x14ac:dyDescent="0.2">
      <c r="B60" s="2" t="s">
        <v>46</v>
      </c>
      <c r="C60" s="142">
        <v>2271.88</v>
      </c>
      <c r="D60" s="142">
        <v>3011.8000000000006</v>
      </c>
      <c r="E60" s="142">
        <v>1778.5399999999997</v>
      </c>
      <c r="F60" s="142">
        <v>2912.7599999999998</v>
      </c>
      <c r="G60" s="143">
        <f t="shared" si="75"/>
        <v>9974.98</v>
      </c>
      <c r="H60" s="142">
        <v>1791.3300000000002</v>
      </c>
      <c r="I60" s="142">
        <v>1790.4000000000003</v>
      </c>
      <c r="J60" s="142">
        <v>1160.6000000000001</v>
      </c>
      <c r="K60" s="142">
        <v>1624.1399999999999</v>
      </c>
      <c r="L60" s="143">
        <f t="shared" si="76"/>
        <v>6366.4700000000012</v>
      </c>
      <c r="M60" s="15"/>
      <c r="N60" s="65">
        <f t="shared" si="77"/>
        <v>-0.36175611379671924</v>
      </c>
      <c r="O60" s="22"/>
      <c r="P60" s="22"/>
      <c r="R60" s="146">
        <f t="shared" ref="R60:U60" si="81">R40*R20</f>
        <v>2060.0295000000001</v>
      </c>
      <c r="S60" s="146">
        <f t="shared" si="81"/>
        <v>2058.96</v>
      </c>
      <c r="T60" s="146">
        <f t="shared" si="81"/>
        <v>1334.69</v>
      </c>
      <c r="U60" s="146">
        <f t="shared" si="81"/>
        <v>1867.7609999999997</v>
      </c>
      <c r="V60" s="147">
        <f t="shared" si="79"/>
        <v>7321.4404999999997</v>
      </c>
    </row>
    <row r="61" spans="2:22" s="10" customFormat="1" ht="12.6" thickBot="1" x14ac:dyDescent="0.3">
      <c r="B61" s="78" t="s">
        <v>52</v>
      </c>
      <c r="C61" s="144">
        <f>SUM(C57:C60)</f>
        <v>6682</v>
      </c>
      <c r="D61" s="144">
        <f>SUM(D57:D60)</f>
        <v>8140</v>
      </c>
      <c r="E61" s="144">
        <f>SUM(E57:E60)</f>
        <v>5231</v>
      </c>
      <c r="F61" s="144">
        <f>SUM(F57:F60)</f>
        <v>8091</v>
      </c>
      <c r="G61" s="145">
        <f t="shared" ref="G61:L61" si="82">SUM(G57:G60)</f>
        <v>28144</v>
      </c>
      <c r="H61" s="144">
        <f t="shared" si="82"/>
        <v>6177</v>
      </c>
      <c r="I61" s="144">
        <f t="shared" si="82"/>
        <v>7460</v>
      </c>
      <c r="J61" s="144">
        <f t="shared" si="82"/>
        <v>5803</v>
      </c>
      <c r="K61" s="144">
        <f t="shared" si="82"/>
        <v>9023</v>
      </c>
      <c r="L61" s="145">
        <f t="shared" si="82"/>
        <v>28463</v>
      </c>
      <c r="M61" s="111"/>
      <c r="N61" s="112">
        <f t="shared" si="77"/>
        <v>1.1334565093803262E-2</v>
      </c>
      <c r="O61" s="113"/>
      <c r="P61" s="113"/>
      <c r="R61" s="148">
        <f>SUM(R57:R60)</f>
        <v>6851.7754800000002</v>
      </c>
      <c r="S61" s="148">
        <f t="shared" ref="S61" si="83">SUM(S57:S60)</f>
        <v>8255.3852000000006</v>
      </c>
      <c r="T61" s="148">
        <f t="shared" ref="T61" si="84">SUM(T57:T60)</f>
        <v>6406.8601799999997</v>
      </c>
      <c r="U61" s="148">
        <f t="shared" ref="U61" si="85">SUM(U57:U60)</f>
        <v>9952.2787700000008</v>
      </c>
      <c r="V61" s="149">
        <f t="shared" si="79"/>
        <v>31466.299630000001</v>
      </c>
    </row>
    <row r="62" spans="2:22" x14ac:dyDescent="0.2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22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22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3:16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3:16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3:16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3:16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3:16" x14ac:dyDescent="0.2">
      <c r="C69" s="16"/>
      <c r="D69" s="16"/>
      <c r="E69" s="16"/>
      <c r="F69" s="16"/>
      <c r="G69" s="6"/>
      <c r="H69" s="16"/>
      <c r="I69" s="16"/>
      <c r="J69" s="16"/>
      <c r="K69" s="16"/>
      <c r="L69" s="6"/>
      <c r="M69" s="6"/>
      <c r="N69" s="6"/>
      <c r="O69" s="6"/>
      <c r="P69" s="6"/>
    </row>
    <row r="70" spans="3:16" x14ac:dyDescent="0.2">
      <c r="C70" s="16"/>
      <c r="D70" s="16"/>
      <c r="E70" s="16"/>
      <c r="F70" s="16"/>
      <c r="G70" s="6"/>
      <c r="H70" s="16"/>
      <c r="I70" s="16"/>
      <c r="J70" s="16"/>
      <c r="K70" s="16"/>
      <c r="L70" s="6"/>
      <c r="M70" s="6"/>
      <c r="N70" s="6"/>
      <c r="O70" s="6"/>
      <c r="P70" s="6"/>
    </row>
    <row r="71" spans="3:16" x14ac:dyDescent="0.2">
      <c r="C71" s="16"/>
      <c r="D71" s="16"/>
      <c r="E71" s="16"/>
      <c r="F71" s="16"/>
      <c r="G71" s="6"/>
      <c r="H71" s="16"/>
      <c r="I71" s="16"/>
      <c r="J71" s="16"/>
      <c r="K71" s="16"/>
      <c r="L71" s="6"/>
      <c r="M71" s="6"/>
      <c r="N71" s="6"/>
      <c r="O71" s="6"/>
      <c r="P71" s="6"/>
    </row>
    <row r="72" spans="3:16" x14ac:dyDescent="0.2">
      <c r="C72" s="17"/>
      <c r="D72" s="17"/>
      <c r="E72" s="17"/>
      <c r="F72" s="17"/>
      <c r="G72" s="6"/>
      <c r="H72" s="17"/>
      <c r="I72" s="17"/>
      <c r="J72" s="17"/>
      <c r="K72" s="17"/>
      <c r="L72" s="6"/>
      <c r="M72" s="6"/>
      <c r="N72" s="6"/>
      <c r="O72" s="6"/>
      <c r="P72" s="6"/>
    </row>
    <row r="73" spans="3:16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3:16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3:16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3:16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3:16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3:16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3:16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3:16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6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3:16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3:16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3:16" x14ac:dyDescent="0.2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</sheetData>
  <sheetProtection algorithmName="SHA-512" hashValue="cwdalolCZqwMqEH9XQV2KD378NUSylvBE2UJiWk6G6ztaAwiSqGtfOukrVuGQMiVMb5Vf4faE4ea2ngYLCN39w==" saltValue="avsmtM0KO/qf4phHJe4FZw==" spinCount="100000" sheet="1" objects="1" scenarios="1" selectLockedCells="1" selectUnlockedCells="1"/>
  <mergeCells count="6">
    <mergeCell ref="R54:V54"/>
    <mergeCell ref="R5:V5"/>
    <mergeCell ref="R14:V14"/>
    <mergeCell ref="R25:V25"/>
    <mergeCell ref="R34:V34"/>
    <mergeCell ref="R45:V4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3"/>
  <sheetViews>
    <sheetView showGridLines="0" workbookViewId="0">
      <selection activeCell="F37" sqref="F37"/>
    </sheetView>
  </sheetViews>
  <sheetFormatPr defaultColWidth="9.109375" defaultRowHeight="11.4" x14ac:dyDescent="0.2"/>
  <cols>
    <col min="1" max="1" width="2" style="2" customWidth="1"/>
    <col min="2" max="2" width="37.109375" style="2" bestFit="1" customWidth="1"/>
    <col min="3" max="3" width="12" style="2" bestFit="1" customWidth="1"/>
    <col min="4" max="18" width="9.109375" style="2"/>
    <col min="19" max="19" width="11.33203125" style="2" bestFit="1" customWidth="1"/>
    <col min="20" max="16384" width="9.109375" style="2"/>
  </cols>
  <sheetData>
    <row r="1" spans="2:19" ht="24.6" x14ac:dyDescent="0.4">
      <c r="B1" s="118" t="s">
        <v>54</v>
      </c>
      <c r="Q1" s="6" t="s">
        <v>147</v>
      </c>
      <c r="R1" s="129"/>
      <c r="S1" s="6" t="s">
        <v>150</v>
      </c>
    </row>
    <row r="2" spans="2:19" x14ac:dyDescent="0.2">
      <c r="B2" s="10"/>
      <c r="Q2" s="6"/>
      <c r="R2" s="130"/>
      <c r="S2" s="6" t="s">
        <v>149</v>
      </c>
    </row>
    <row r="3" spans="2:19" ht="17.399999999999999" x14ac:dyDescent="0.3">
      <c r="B3" s="119" t="s">
        <v>107</v>
      </c>
      <c r="Q3" s="6"/>
      <c r="R3" s="131"/>
      <c r="S3" s="6" t="s">
        <v>148</v>
      </c>
    </row>
    <row r="4" spans="2:19" ht="12" x14ac:dyDescent="0.25">
      <c r="B4" s="120"/>
      <c r="C4" s="123" t="s">
        <v>123</v>
      </c>
    </row>
    <row r="5" spans="2:19" x14ac:dyDescent="0.2">
      <c r="B5" s="121" t="s">
        <v>144</v>
      </c>
      <c r="C5" s="124">
        <v>60</v>
      </c>
    </row>
    <row r="6" spans="2:19" x14ac:dyDescent="0.2">
      <c r="B6" s="121" t="s">
        <v>55</v>
      </c>
      <c r="C6" s="125">
        <v>0.7</v>
      </c>
    </row>
    <row r="7" spans="2:19" ht="12" x14ac:dyDescent="0.25">
      <c r="B7" s="126" t="s">
        <v>57</v>
      </c>
      <c r="C7" s="24">
        <f>C5*C6</f>
        <v>42</v>
      </c>
    </row>
    <row r="8" spans="2:19" x14ac:dyDescent="0.2">
      <c r="B8" s="121" t="s">
        <v>56</v>
      </c>
      <c r="C8" s="128">
        <v>540</v>
      </c>
    </row>
    <row r="9" spans="2:19" ht="12" x14ac:dyDescent="0.25">
      <c r="B9" s="126" t="s">
        <v>58</v>
      </c>
      <c r="C9" s="19">
        <f>C7*C8</f>
        <v>22680</v>
      </c>
    </row>
    <row r="10" spans="2:19" x14ac:dyDescent="0.2">
      <c r="B10" s="122" t="s">
        <v>59</v>
      </c>
      <c r="C10" s="127">
        <v>3.5000000000000003E-2</v>
      </c>
    </row>
    <row r="11" spans="2:19" ht="12" x14ac:dyDescent="0.25">
      <c r="B11" s="126" t="s">
        <v>60</v>
      </c>
      <c r="C11" s="24">
        <f>C9*C10</f>
        <v>793.80000000000007</v>
      </c>
    </row>
    <row r="12" spans="2:19" x14ac:dyDescent="0.2">
      <c r="B12" s="121" t="s">
        <v>61</v>
      </c>
      <c r="C12" s="125">
        <v>0.18</v>
      </c>
    </row>
    <row r="13" spans="2:19" ht="12" x14ac:dyDescent="0.25">
      <c r="B13" s="126" t="s">
        <v>63</v>
      </c>
      <c r="C13" s="150">
        <f>C11*C12</f>
        <v>142.88400000000001</v>
      </c>
    </row>
  </sheetData>
  <sheetProtection algorithmName="SHA-512" hashValue="SPHA+H8PhlgEs7ZlNAIjXcvN++NbpMPDlNOzs0hqGy3PT6pqkufWhKtusf8L6f/tIQOJY23X9/BWI2JAf9PqAA==" saltValue="yWOGU0fns7OkcVd9pUmfz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23"/>
  <sheetViews>
    <sheetView showGridLines="0" workbookViewId="0">
      <selection activeCell="F37" sqref="F37"/>
    </sheetView>
  </sheetViews>
  <sheetFormatPr defaultColWidth="9.109375" defaultRowHeight="12" x14ac:dyDescent="0.25"/>
  <cols>
    <col min="1" max="1" width="2" style="2" customWidth="1"/>
    <col min="2" max="2" width="24.5546875" style="2" customWidth="1"/>
    <col min="3" max="3" width="12" style="2" bestFit="1" customWidth="1"/>
    <col min="4" max="4" width="11" style="2" customWidth="1"/>
    <col min="5" max="5" width="10.5546875" style="2" bestFit="1" customWidth="1"/>
    <col min="6" max="6" width="10.33203125" style="2" customWidth="1"/>
    <col min="7" max="7" width="12" style="70" customWidth="1"/>
    <col min="8" max="8" width="2" style="2" customWidth="1"/>
    <col min="9" max="19" width="9.109375" style="2"/>
    <col min="20" max="20" width="11.33203125" style="2" bestFit="1" customWidth="1"/>
    <col min="21" max="16384" width="9.109375" style="2"/>
  </cols>
  <sheetData>
    <row r="1" spans="2:20" ht="21" x14ac:dyDescent="0.4">
      <c r="B1" s="132" t="s">
        <v>108</v>
      </c>
      <c r="R1" s="6" t="s">
        <v>147</v>
      </c>
      <c r="S1" s="129"/>
      <c r="T1" s="6" t="s">
        <v>150</v>
      </c>
    </row>
    <row r="2" spans="2:20" x14ac:dyDescent="0.25">
      <c r="R2" s="6"/>
      <c r="S2" s="130"/>
      <c r="T2" s="6" t="s">
        <v>149</v>
      </c>
    </row>
    <row r="3" spans="2:20" x14ac:dyDescent="0.25">
      <c r="R3" s="6"/>
      <c r="S3" s="131"/>
      <c r="T3" s="6" t="s">
        <v>148</v>
      </c>
    </row>
    <row r="4" spans="2:20" x14ac:dyDescent="0.25">
      <c r="B4" s="2" t="s">
        <v>109</v>
      </c>
      <c r="C4" s="152">
        <f>'Revenue - Bottom-Up'!V52+'Revenue - Bottom-Up'!V61</f>
        <v>107223.295851</v>
      </c>
    </row>
    <row r="5" spans="2:20" x14ac:dyDescent="0.25">
      <c r="B5" s="2" t="s">
        <v>110</v>
      </c>
      <c r="C5" s="152">
        <f>'Revenue - Top-Down'!C13*1000</f>
        <v>142884</v>
      </c>
    </row>
    <row r="6" spans="2:20" x14ac:dyDescent="0.25">
      <c r="B6" s="27" t="s">
        <v>111</v>
      </c>
      <c r="C6" s="28">
        <f>AVERAGE(C4:C5)</f>
        <v>125053.6479255</v>
      </c>
    </row>
    <row r="8" spans="2:20" x14ac:dyDescent="0.25">
      <c r="B8" s="2" t="s">
        <v>64</v>
      </c>
      <c r="C8" s="151">
        <f>G16</f>
        <v>101732</v>
      </c>
    </row>
    <row r="9" spans="2:20" x14ac:dyDescent="0.25">
      <c r="B9" s="25" t="s">
        <v>65</v>
      </c>
      <c r="C9" s="26">
        <f>C6/C8-1</f>
        <v>0.22924593958144923</v>
      </c>
    </row>
    <row r="10" spans="2:20" x14ac:dyDescent="0.25">
      <c r="B10" s="25" t="s">
        <v>151</v>
      </c>
      <c r="C10" s="26">
        <v>0.15</v>
      </c>
    </row>
    <row r="11" spans="2:20" s="88" customFormat="1" x14ac:dyDescent="0.25">
      <c r="B11" s="153"/>
      <c r="C11" s="154"/>
      <c r="G11" s="155"/>
    </row>
    <row r="12" spans="2:20" x14ac:dyDescent="0.25">
      <c r="C12" s="74" t="s">
        <v>67</v>
      </c>
      <c r="D12" s="74"/>
      <c r="E12" s="74"/>
      <c r="F12" s="74"/>
      <c r="G12" s="74"/>
    </row>
    <row r="13" spans="2:20" ht="12.6" thickBot="1" x14ac:dyDescent="0.3">
      <c r="B13" s="41"/>
      <c r="C13" s="41" t="s">
        <v>14</v>
      </c>
      <c r="D13" s="41" t="s">
        <v>15</v>
      </c>
      <c r="E13" s="41" t="s">
        <v>16</v>
      </c>
      <c r="F13" s="41" t="s">
        <v>17</v>
      </c>
      <c r="G13" s="71" t="s">
        <v>112</v>
      </c>
      <c r="I13" s="21"/>
    </row>
    <row r="14" spans="2:20" x14ac:dyDescent="0.25">
      <c r="B14" s="2" t="s">
        <v>139</v>
      </c>
      <c r="C14" s="84">
        <f>'Revenue - Bottom-Up'!H52</f>
        <v>16413</v>
      </c>
      <c r="D14" s="84">
        <f>'Revenue - Bottom-Up'!I52</f>
        <v>18926</v>
      </c>
      <c r="E14" s="84">
        <f>'Revenue - Bottom-Up'!J52</f>
        <v>16498</v>
      </c>
      <c r="F14" s="84">
        <f>'Revenue - Bottom-Up'!K52</f>
        <v>21432</v>
      </c>
      <c r="G14" s="72">
        <f>SUM(C14:F14)</f>
        <v>73269</v>
      </c>
      <c r="I14" s="29"/>
    </row>
    <row r="15" spans="2:20" x14ac:dyDescent="0.25">
      <c r="B15" s="2" t="s">
        <v>66</v>
      </c>
      <c r="C15" s="84">
        <f>'Revenue - Bottom-Up'!H61</f>
        <v>6177</v>
      </c>
      <c r="D15" s="84">
        <f>'Revenue - Bottom-Up'!I61</f>
        <v>7460</v>
      </c>
      <c r="E15" s="84">
        <f>'Revenue - Bottom-Up'!J61</f>
        <v>5803</v>
      </c>
      <c r="F15" s="84">
        <f>'Revenue - Bottom-Up'!K61</f>
        <v>9023</v>
      </c>
      <c r="G15" s="72">
        <f>SUM(C15:F15)</f>
        <v>28463</v>
      </c>
      <c r="I15" s="29"/>
    </row>
    <row r="16" spans="2:20" x14ac:dyDescent="0.25">
      <c r="B16" s="4" t="s">
        <v>1</v>
      </c>
      <c r="C16" s="37">
        <f>SUM(C14:C15)</f>
        <v>22590</v>
      </c>
      <c r="D16" s="37">
        <f>SUM(D14:D15)</f>
        <v>26386</v>
      </c>
      <c r="E16" s="37">
        <f>SUM(E14:E15)</f>
        <v>22301</v>
      </c>
      <c r="F16" s="37">
        <f>SUM(F14:F15)</f>
        <v>30455</v>
      </c>
      <c r="G16" s="73">
        <f>SUM(G14:G15)</f>
        <v>101732</v>
      </c>
      <c r="I16" s="32"/>
    </row>
    <row r="17" spans="2:9" x14ac:dyDescent="0.25">
      <c r="B17" s="31"/>
      <c r="I17" s="32"/>
    </row>
    <row r="18" spans="2:9" x14ac:dyDescent="0.25">
      <c r="C18" s="74" t="s">
        <v>47</v>
      </c>
      <c r="D18" s="74"/>
      <c r="E18" s="74"/>
      <c r="F18" s="74"/>
      <c r="G18" s="74"/>
    </row>
    <row r="19" spans="2:9" ht="3.75" customHeight="1" x14ac:dyDescent="0.25"/>
    <row r="20" spans="2:9" ht="12.6" thickBot="1" x14ac:dyDescent="0.3">
      <c r="B20" s="41"/>
      <c r="C20" s="41" t="s">
        <v>14</v>
      </c>
      <c r="D20" s="41" t="s">
        <v>15</v>
      </c>
      <c r="E20" s="41" t="s">
        <v>16</v>
      </c>
      <c r="F20" s="41" t="s">
        <v>17</v>
      </c>
      <c r="G20" s="71" t="s">
        <v>123</v>
      </c>
      <c r="I20" s="41" t="s">
        <v>62</v>
      </c>
    </row>
    <row r="21" spans="2:9" x14ac:dyDescent="0.25">
      <c r="B21" s="2" t="s">
        <v>139</v>
      </c>
      <c r="C21" s="35">
        <f>C23-C22</f>
        <v>19677.959999999995</v>
      </c>
      <c r="D21" s="35">
        <f t="shared" ref="D21:F21" si="0">D23-D22</f>
        <v>22734.699999999997</v>
      </c>
      <c r="E21" s="35">
        <f t="shared" si="0"/>
        <v>19727.089999999997</v>
      </c>
      <c r="F21" s="35">
        <f t="shared" si="0"/>
        <v>25819.79</v>
      </c>
      <c r="G21" s="72">
        <f>SUM(C21:F21)</f>
        <v>87959.539999999979</v>
      </c>
      <c r="I21" s="29">
        <f>G21/G14-1</f>
        <v>0.20050143989954794</v>
      </c>
    </row>
    <row r="22" spans="2:9" x14ac:dyDescent="0.25">
      <c r="B22" s="2" t="s">
        <v>66</v>
      </c>
      <c r="C22" s="35">
        <f>C15*(1+$I$22)</f>
        <v>6300.54</v>
      </c>
      <c r="D22" s="35">
        <f>D15*(1+$I$22)</f>
        <v>7609.2</v>
      </c>
      <c r="E22" s="35">
        <f>E15*(1+$I$22)</f>
        <v>5919.06</v>
      </c>
      <c r="F22" s="35">
        <f>F15*(1+$I$22)</f>
        <v>9203.4600000000009</v>
      </c>
      <c r="G22" s="72">
        <f>SUM(C22:F22)</f>
        <v>29032.260000000002</v>
      </c>
      <c r="I22" s="156">
        <v>0.02</v>
      </c>
    </row>
    <row r="23" spans="2:9" x14ac:dyDescent="0.25">
      <c r="B23" s="4" t="s">
        <v>1</v>
      </c>
      <c r="C23" s="37">
        <f>C16*(1+$I$23)</f>
        <v>25978.499999999996</v>
      </c>
      <c r="D23" s="37">
        <f t="shared" ref="D23:F23" si="1">D16*(1+$I$23)</f>
        <v>30343.899999999998</v>
      </c>
      <c r="E23" s="37">
        <f t="shared" si="1"/>
        <v>25646.149999999998</v>
      </c>
      <c r="F23" s="37">
        <f t="shared" si="1"/>
        <v>35023.25</v>
      </c>
      <c r="G23" s="73">
        <f>SUM(C23:F23)</f>
        <v>116991.79999999999</v>
      </c>
      <c r="I23" s="30">
        <f>C10</f>
        <v>0.15</v>
      </c>
    </row>
  </sheetData>
  <sheetProtection algorithmName="SHA-512" hashValue="Ad3aSOUhGkh2DJm8C4c3HlrS/fiVbNoZcmqqLP8LGrNec5AJHVFgi/SnSJDf2EvuamVgmhXO0irT19mvi6/uAQ==" saltValue="0PzWjLB9rDlB33cAGm4WNg==" spinCount="100000" sheet="1" objects="1" scenarios="1" selectLockedCells="1" selectUnlockedCells="1"/>
  <mergeCells count="2">
    <mergeCell ref="C18:G18"/>
    <mergeCell ref="C12:G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B17"/>
  <sheetViews>
    <sheetView workbookViewId="0">
      <selection activeCell="E38" sqref="E38"/>
    </sheetView>
  </sheetViews>
  <sheetFormatPr defaultColWidth="9.21875" defaultRowHeight="14.4" x14ac:dyDescent="0.3"/>
  <cols>
    <col min="1" max="1" width="2.44140625" style="1" customWidth="1"/>
    <col min="2" max="16384" width="9.21875" style="1"/>
  </cols>
  <sheetData>
    <row r="17" spans="2:2" ht="50.4" x14ac:dyDescent="0.85">
      <c r="B17" s="7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13"/>
  <sheetViews>
    <sheetView workbookViewId="0">
      <selection activeCell="B2" sqref="B2"/>
    </sheetView>
  </sheetViews>
  <sheetFormatPr defaultColWidth="9.109375" defaultRowHeight="11.4" x14ac:dyDescent="0.2"/>
  <cols>
    <col min="1" max="1" width="2" style="2" customWidth="1"/>
    <col min="2" max="2" width="27.21875" style="2" customWidth="1"/>
    <col min="3" max="5" width="9.5546875" style="2" bestFit="1" customWidth="1"/>
    <col min="6" max="7" width="10.33203125" style="2" bestFit="1" customWidth="1"/>
    <col min="8" max="8" width="1.44140625" style="2" customWidth="1"/>
    <col min="9" max="9" width="9.5546875" style="2" bestFit="1" customWidth="1"/>
    <col min="10" max="10" width="10.5546875" style="2" bestFit="1" customWidth="1"/>
    <col min="11" max="11" width="9.5546875" style="2" bestFit="1" customWidth="1"/>
    <col min="12" max="13" width="10.5546875" style="2" bestFit="1" customWidth="1"/>
    <col min="14" max="20" width="9.109375" style="2"/>
    <col min="21" max="21" width="11.33203125" style="2" bestFit="1" customWidth="1"/>
    <col min="22" max="16384" width="9.109375" style="2"/>
  </cols>
  <sheetData>
    <row r="1" spans="2:21" ht="15.6" x14ac:dyDescent="0.3">
      <c r="B1" s="3" t="s">
        <v>68</v>
      </c>
      <c r="S1" s="6" t="s">
        <v>147</v>
      </c>
      <c r="T1" s="129"/>
      <c r="U1" s="6" t="s">
        <v>150</v>
      </c>
    </row>
    <row r="2" spans="2:21" x14ac:dyDescent="0.2">
      <c r="S2" s="6"/>
      <c r="T2" s="130"/>
      <c r="U2" s="6" t="s">
        <v>149</v>
      </c>
    </row>
    <row r="3" spans="2:21" ht="12" x14ac:dyDescent="0.25">
      <c r="C3" s="74" t="s">
        <v>85</v>
      </c>
      <c r="D3" s="74"/>
      <c r="E3" s="74"/>
      <c r="F3" s="74"/>
      <c r="G3" s="74"/>
      <c r="I3" s="74" t="s">
        <v>47</v>
      </c>
      <c r="J3" s="74"/>
      <c r="K3" s="74"/>
      <c r="L3" s="74"/>
      <c r="M3" s="74"/>
      <c r="S3" s="6"/>
      <c r="T3" s="131"/>
      <c r="U3" s="6" t="s">
        <v>148</v>
      </c>
    </row>
    <row r="4" spans="2:21" ht="12.6" thickBot="1" x14ac:dyDescent="0.3">
      <c r="B4" s="33" t="s">
        <v>72</v>
      </c>
      <c r="C4" s="41" t="s">
        <v>14</v>
      </c>
      <c r="D4" s="41" t="s">
        <v>15</v>
      </c>
      <c r="E4" s="41" t="s">
        <v>16</v>
      </c>
      <c r="F4" s="41" t="s">
        <v>17</v>
      </c>
      <c r="G4" s="41" t="s">
        <v>113</v>
      </c>
      <c r="H4" s="62"/>
      <c r="I4" s="41" t="s">
        <v>14</v>
      </c>
      <c r="J4" s="41" t="s">
        <v>15</v>
      </c>
      <c r="K4" s="41" t="s">
        <v>16</v>
      </c>
      <c r="L4" s="41" t="s">
        <v>17</v>
      </c>
      <c r="M4" s="41" t="s">
        <v>124</v>
      </c>
    </row>
    <row r="5" spans="2:21" x14ac:dyDescent="0.2">
      <c r="B5" s="2" t="s">
        <v>152</v>
      </c>
      <c r="C5" s="75">
        <v>14</v>
      </c>
      <c r="D5" s="75">
        <v>14</v>
      </c>
      <c r="E5" s="75">
        <v>15</v>
      </c>
      <c r="F5" s="75">
        <v>15</v>
      </c>
      <c r="G5" s="35"/>
      <c r="H5" s="6"/>
      <c r="I5" s="35">
        <f>$F$5</f>
        <v>15</v>
      </c>
      <c r="J5" s="35">
        <f t="shared" ref="J5:L5" si="0">$F$5</f>
        <v>15</v>
      </c>
      <c r="K5" s="35">
        <f t="shared" si="0"/>
        <v>15</v>
      </c>
      <c r="L5" s="35">
        <f t="shared" si="0"/>
        <v>15</v>
      </c>
      <c r="M5" s="35"/>
    </row>
    <row r="6" spans="2:21" x14ac:dyDescent="0.2">
      <c r="B6" s="2" t="s">
        <v>70</v>
      </c>
      <c r="C6" s="115">
        <v>-41.2</v>
      </c>
      <c r="D6" s="115">
        <v>-43.2</v>
      </c>
      <c r="E6" s="115">
        <v>-44.5</v>
      </c>
      <c r="F6" s="115">
        <v>-42.4</v>
      </c>
      <c r="G6" s="36"/>
      <c r="H6" s="6"/>
      <c r="I6" s="36">
        <f>AVERAGE($C$6:$F$6)</f>
        <v>-42.825000000000003</v>
      </c>
      <c r="J6" s="36">
        <f>AVERAGE($C$6:$F$6)</f>
        <v>-42.825000000000003</v>
      </c>
      <c r="K6" s="36">
        <f>AVERAGE($C$6:$F$6)</f>
        <v>-42.825000000000003</v>
      </c>
      <c r="L6" s="36">
        <f>AVERAGE($C$6:$F$6)</f>
        <v>-42.825000000000003</v>
      </c>
      <c r="M6" s="36"/>
    </row>
    <row r="7" spans="2:21" ht="12" x14ac:dyDescent="0.25">
      <c r="B7" s="34" t="s">
        <v>71</v>
      </c>
      <c r="C7" s="37">
        <f>C5*C6</f>
        <v>-576.80000000000007</v>
      </c>
      <c r="D7" s="37">
        <f t="shared" ref="D7:F7" si="1">D5*D6</f>
        <v>-604.80000000000007</v>
      </c>
      <c r="E7" s="37">
        <f t="shared" si="1"/>
        <v>-667.5</v>
      </c>
      <c r="F7" s="37">
        <f t="shared" si="1"/>
        <v>-636</v>
      </c>
      <c r="G7" s="37">
        <f>SUM(C7:F7)</f>
        <v>-2485.1000000000004</v>
      </c>
      <c r="H7" s="39"/>
      <c r="I7" s="37">
        <f>I5*I6</f>
        <v>-642.375</v>
      </c>
      <c r="J7" s="37">
        <f>J5*J6</f>
        <v>-642.375</v>
      </c>
      <c r="K7" s="37">
        <f>K5*K6</f>
        <v>-642.375</v>
      </c>
      <c r="L7" s="37">
        <f>L5*L6</f>
        <v>-642.375</v>
      </c>
      <c r="M7" s="37">
        <f>SUM(I7:L7)</f>
        <v>-2569.5</v>
      </c>
    </row>
    <row r="8" spans="2:2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21" x14ac:dyDescent="0.2">
      <c r="B9" s="2" t="s">
        <v>75</v>
      </c>
      <c r="C9" s="84">
        <f>'Revenue - Bottom-Up'!H12</f>
        <v>1109.0340574938136</v>
      </c>
      <c r="D9" s="84">
        <f>'Revenue - Bottom-Up'!I12</f>
        <v>1268.2403133955261</v>
      </c>
      <c r="E9" s="84">
        <f>'Revenue - Bottom-Up'!J12</f>
        <v>1167.972341654963</v>
      </c>
      <c r="F9" s="84">
        <f>'Revenue - Bottom-Up'!K12</f>
        <v>1352.4892553301811</v>
      </c>
      <c r="G9" s="84">
        <f>'Revenue - Bottom-Up'!L12</f>
        <v>4897.7359678744833</v>
      </c>
      <c r="H9" s="84"/>
      <c r="I9" s="84">
        <f>'Revenue - Bottom-Up'!R12</f>
        <v>1139.3048480850487</v>
      </c>
      <c r="J9" s="84">
        <f>'Revenue - Bottom-Up'!S12</f>
        <v>1315.2512338138354</v>
      </c>
      <c r="K9" s="84">
        <f>'Revenue - Bottom-Up'!T12</f>
        <v>1222.912912513535</v>
      </c>
      <c r="L9" s="84">
        <f>'Revenue - Bottom-Up'!U12</f>
        <v>1469.9074198822459</v>
      </c>
      <c r="M9" s="84">
        <f>'Revenue - Bottom-Up'!V12</f>
        <v>5147.3764142946657</v>
      </c>
    </row>
    <row r="10" spans="2:21" x14ac:dyDescent="0.2">
      <c r="B10" s="2" t="s">
        <v>73</v>
      </c>
      <c r="C10" s="115">
        <v>-7.429167701683463</v>
      </c>
      <c r="D10" s="115">
        <v>-7.623318623356818</v>
      </c>
      <c r="E10" s="115">
        <v>-7.4680706802017411</v>
      </c>
      <c r="F10" s="115">
        <v>-8.4274236967726779</v>
      </c>
      <c r="G10" s="115">
        <v>-7.7643834313312992</v>
      </c>
      <c r="H10" s="36"/>
      <c r="I10" s="36">
        <f>AVERAGE($C$10:$F$10)</f>
        <v>-7.736995175503675</v>
      </c>
      <c r="J10" s="36">
        <f t="shared" ref="J10:M10" si="2">AVERAGE($C$10:$F$10)</f>
        <v>-7.736995175503675</v>
      </c>
      <c r="K10" s="36">
        <f t="shared" si="2"/>
        <v>-7.736995175503675</v>
      </c>
      <c r="L10" s="36">
        <f t="shared" si="2"/>
        <v>-7.736995175503675</v>
      </c>
      <c r="M10" s="36">
        <f t="shared" si="2"/>
        <v>-7.736995175503675</v>
      </c>
    </row>
    <row r="11" spans="2:21" ht="12" x14ac:dyDescent="0.25">
      <c r="B11" s="34" t="s">
        <v>74</v>
      </c>
      <c r="C11" s="37">
        <f>C9*C10</f>
        <v>-8239.2000000000007</v>
      </c>
      <c r="D11" s="37">
        <f t="shared" ref="D11:G11" si="3">D9*D10</f>
        <v>-9668.2000000000007</v>
      </c>
      <c r="E11" s="37">
        <f t="shared" si="3"/>
        <v>-8722.5</v>
      </c>
      <c r="F11" s="37">
        <f t="shared" si="3"/>
        <v>-11398.000000000002</v>
      </c>
      <c r="G11" s="37">
        <f t="shared" si="3"/>
        <v>-38027.9</v>
      </c>
      <c r="H11" s="38"/>
      <c r="I11" s="37">
        <f>I9*I10</f>
        <v>-8814.7961130619697</v>
      </c>
      <c r="J11" s="37">
        <f>J9*J10</f>
        <v>-10176.0924505929</v>
      </c>
      <c r="K11" s="37">
        <f>K9*K10</f>
        <v>-9461.6713041783678</v>
      </c>
      <c r="L11" s="37">
        <f>L9*L10</f>
        <v>-11372.666616065992</v>
      </c>
      <c r="M11" s="37">
        <f>SUM(I11:L11)</f>
        <v>-39825.226483899227</v>
      </c>
    </row>
    <row r="13" spans="2:21" s="10" customFormat="1" ht="12.6" thickBot="1" x14ac:dyDescent="0.3">
      <c r="B13" s="78" t="s">
        <v>68</v>
      </c>
      <c r="C13" s="79">
        <f>C7+C11</f>
        <v>-8816</v>
      </c>
      <c r="D13" s="79">
        <f>D7+D11</f>
        <v>-10273</v>
      </c>
      <c r="E13" s="79">
        <f>E7+E11</f>
        <v>-9390</v>
      </c>
      <c r="F13" s="79">
        <f>F7+F11</f>
        <v>-12034.000000000002</v>
      </c>
      <c r="G13" s="79">
        <f>G7+G11</f>
        <v>-40513</v>
      </c>
      <c r="H13" s="157"/>
      <c r="I13" s="79">
        <f t="shared" ref="I13:M13" si="4">I7+I11</f>
        <v>-9457.1711130619697</v>
      </c>
      <c r="J13" s="79">
        <f t="shared" si="4"/>
        <v>-10818.4674505929</v>
      </c>
      <c r="K13" s="79">
        <f t="shared" si="4"/>
        <v>-10104.046304178368</v>
      </c>
      <c r="L13" s="79">
        <f t="shared" si="4"/>
        <v>-12015.041616065992</v>
      </c>
      <c r="M13" s="79">
        <f t="shared" si="4"/>
        <v>-42394.726483899227</v>
      </c>
    </row>
  </sheetData>
  <sheetProtection algorithmName="SHA-512" hashValue="daP1nQ7r2tHC2hrS+8rcSGXPBn2EJErBffwhYG46wOyt6+rzW9XQPAWTtRaftgc/RjIUPMCWUS/LUvhgHu6sdg==" saltValue="NoCXX2KZlYwDRxYbvB04wA==" spinCount="100000" sheet="1" objects="1" scenarios="1" selectLockedCells="1" selectUnlockedCells="1"/>
  <mergeCells count="2"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13"/>
  <sheetViews>
    <sheetView workbookViewId="0">
      <selection activeCell="E38" sqref="E38"/>
    </sheetView>
  </sheetViews>
  <sheetFormatPr defaultColWidth="9.109375" defaultRowHeight="11.4" x14ac:dyDescent="0.2"/>
  <cols>
    <col min="1" max="1" width="2" style="2" customWidth="1"/>
    <col min="2" max="2" width="26" style="2" customWidth="1"/>
    <col min="3" max="7" width="9.109375" style="2"/>
    <col min="8" max="8" width="2.33203125" style="2" customWidth="1"/>
    <col min="9" max="20" width="9.109375" style="2"/>
    <col min="21" max="21" width="11.33203125" style="2" bestFit="1" customWidth="1"/>
    <col min="22" max="16384" width="9.109375" style="2"/>
  </cols>
  <sheetData>
    <row r="1" spans="2:21" ht="15.6" x14ac:dyDescent="0.3">
      <c r="B1" s="3" t="s">
        <v>69</v>
      </c>
      <c r="S1" s="6" t="s">
        <v>147</v>
      </c>
      <c r="T1" s="129"/>
      <c r="U1" s="6" t="s">
        <v>150</v>
      </c>
    </row>
    <row r="2" spans="2:21" x14ac:dyDescent="0.2">
      <c r="S2" s="6"/>
      <c r="T2" s="130"/>
      <c r="U2" s="6" t="s">
        <v>149</v>
      </c>
    </row>
    <row r="3" spans="2:21" ht="12" x14ac:dyDescent="0.25">
      <c r="C3" s="74" t="s">
        <v>85</v>
      </c>
      <c r="D3" s="74"/>
      <c r="E3" s="74"/>
      <c r="F3" s="74"/>
      <c r="G3" s="74"/>
      <c r="I3" s="74" t="s">
        <v>47</v>
      </c>
      <c r="J3" s="74"/>
      <c r="K3" s="74"/>
      <c r="L3" s="74"/>
      <c r="M3" s="74"/>
      <c r="S3" s="6"/>
      <c r="T3" s="131"/>
      <c r="U3" s="6" t="s">
        <v>148</v>
      </c>
    </row>
    <row r="4" spans="2:21" ht="12.6" thickBot="1" x14ac:dyDescent="0.3">
      <c r="B4" s="33" t="s">
        <v>72</v>
      </c>
      <c r="C4" s="41" t="s">
        <v>14</v>
      </c>
      <c r="D4" s="41" t="s">
        <v>15</v>
      </c>
      <c r="E4" s="41" t="s">
        <v>16</v>
      </c>
      <c r="F4" s="41" t="s">
        <v>17</v>
      </c>
      <c r="G4" s="41" t="s">
        <v>113</v>
      </c>
      <c r="H4" s="62"/>
      <c r="I4" s="41" t="s">
        <v>14</v>
      </c>
      <c r="J4" s="41" t="s">
        <v>15</v>
      </c>
      <c r="K4" s="41" t="s">
        <v>16</v>
      </c>
      <c r="L4" s="41" t="s">
        <v>17</v>
      </c>
      <c r="M4" s="41" t="s">
        <v>124</v>
      </c>
    </row>
    <row r="5" spans="2:21" x14ac:dyDescent="0.2">
      <c r="B5" s="2" t="s">
        <v>77</v>
      </c>
      <c r="C5" s="75">
        <v>19</v>
      </c>
      <c r="D5" s="75">
        <v>19</v>
      </c>
      <c r="E5" s="75">
        <v>20</v>
      </c>
      <c r="F5" s="75">
        <v>21</v>
      </c>
      <c r="G5" s="35"/>
      <c r="H5" s="6"/>
      <c r="I5" s="35">
        <f>$F$5</f>
        <v>21</v>
      </c>
      <c r="J5" s="35">
        <f t="shared" ref="J5:L5" si="0">$F$5</f>
        <v>21</v>
      </c>
      <c r="K5" s="35">
        <f t="shared" si="0"/>
        <v>21</v>
      </c>
      <c r="L5" s="35">
        <f t="shared" si="0"/>
        <v>21</v>
      </c>
      <c r="M5" s="35"/>
    </row>
    <row r="6" spans="2:21" x14ac:dyDescent="0.2">
      <c r="B6" s="2" t="s">
        <v>70</v>
      </c>
      <c r="C6" s="115">
        <v>-61.2</v>
      </c>
      <c r="D6" s="115">
        <v>-64.5</v>
      </c>
      <c r="E6" s="115">
        <v>-68.3</v>
      </c>
      <c r="F6" s="115">
        <v>-61.9</v>
      </c>
      <c r="G6" s="36"/>
      <c r="H6" s="6"/>
      <c r="I6" s="36">
        <f>AVERAGE($C$6:$F$6)</f>
        <v>-63.975000000000001</v>
      </c>
      <c r="J6" s="36">
        <f>AVERAGE($C$6:$F$6)</f>
        <v>-63.975000000000001</v>
      </c>
      <c r="K6" s="36">
        <f>AVERAGE($C$6:$F$6)</f>
        <v>-63.975000000000001</v>
      </c>
      <c r="L6" s="36">
        <f>AVERAGE($C$6:$F$6)</f>
        <v>-63.975000000000001</v>
      </c>
      <c r="M6" s="36"/>
    </row>
    <row r="7" spans="2:21" ht="12" x14ac:dyDescent="0.25">
      <c r="B7" s="34" t="s">
        <v>76</v>
      </c>
      <c r="C7" s="37">
        <f>C5*C6</f>
        <v>-1162.8</v>
      </c>
      <c r="D7" s="37">
        <f>D5*D6</f>
        <v>-1225.5</v>
      </c>
      <c r="E7" s="37">
        <f>E5*E6</f>
        <v>-1366</v>
      </c>
      <c r="F7" s="37">
        <f>F5*F6</f>
        <v>-1299.8999999999999</v>
      </c>
      <c r="G7" s="37">
        <f>SUM(C7:F7)</f>
        <v>-5054.2</v>
      </c>
      <c r="H7" s="39"/>
      <c r="I7" s="37">
        <f>I5*I6</f>
        <v>-1343.4750000000001</v>
      </c>
      <c r="J7" s="37">
        <f>J5*J6</f>
        <v>-1343.4750000000001</v>
      </c>
      <c r="K7" s="37">
        <f>K5*K6</f>
        <v>-1343.4750000000001</v>
      </c>
      <c r="L7" s="37">
        <f>L5*L6</f>
        <v>-1343.4750000000001</v>
      </c>
      <c r="M7" s="37">
        <f>SUM(I7:L7)</f>
        <v>-5373.9000000000005</v>
      </c>
    </row>
    <row r="8" spans="2:2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21" x14ac:dyDescent="0.2">
      <c r="B9" s="2" t="s">
        <v>79</v>
      </c>
      <c r="C9" s="84">
        <f>'Revenue - Bottom-Up'!H21</f>
        <v>1360.2380952380952</v>
      </c>
      <c r="D9" s="84">
        <f>'Revenue - Bottom-Up'!I21</f>
        <v>1637.5648305084744</v>
      </c>
      <c r="E9" s="84">
        <f>'Revenue - Bottom-Up'!J21</f>
        <v>1346.9526860740973</v>
      </c>
      <c r="F9" s="84">
        <f>'Revenue - Bottom-Up'!K21</f>
        <v>2183.0950659133709</v>
      </c>
      <c r="G9" s="84">
        <f>'Revenue - Bottom-Up'!L21</f>
        <v>6527.8506777340372</v>
      </c>
      <c r="H9" s="84"/>
      <c r="I9" s="84">
        <f>'Revenue - Bottom-Up'!R21</f>
        <v>1553.3919047619047</v>
      </c>
      <c r="J9" s="84">
        <f>'Revenue - Bottom-Up'!S21</f>
        <v>1895.8146468926554</v>
      </c>
      <c r="K9" s="84">
        <f>'Revenue - Bottom-Up'!T21</f>
        <v>1576.9780839412015</v>
      </c>
      <c r="L9" s="84">
        <f>'Revenue - Bottom-Up'!U21</f>
        <v>2596.1867947269302</v>
      </c>
      <c r="M9" s="84">
        <f>'Revenue - Bottom-Up'!V21</f>
        <v>7622.3714303226916</v>
      </c>
    </row>
    <row r="10" spans="2:21" x14ac:dyDescent="0.2">
      <c r="B10" s="2" t="s">
        <v>78</v>
      </c>
      <c r="C10" s="36">
        <f>C11/C9</f>
        <v>-1.9218694206196394</v>
      </c>
      <c r="D10" s="36">
        <f t="shared" ref="D10:G10" si="1">D11/D9</f>
        <v>-2.0264846546378164</v>
      </c>
      <c r="E10" s="36">
        <f t="shared" si="1"/>
        <v>-2.1507808180284016</v>
      </c>
      <c r="F10" s="36">
        <f t="shared" si="1"/>
        <v>-2.1685267279092728</v>
      </c>
      <c r="G10" s="36">
        <f t="shared" si="1"/>
        <v>-2.0778355188584516</v>
      </c>
      <c r="H10" s="36"/>
      <c r="I10" s="36">
        <f>AVERAGE($C$10:$F$10)</f>
        <v>-2.0669154052987824</v>
      </c>
      <c r="J10" s="36">
        <f t="shared" ref="J10:M10" si="2">AVERAGE($C$10:$F$10)</f>
        <v>-2.0669154052987824</v>
      </c>
      <c r="K10" s="36">
        <f t="shared" si="2"/>
        <v>-2.0669154052987824</v>
      </c>
      <c r="L10" s="36">
        <f t="shared" si="2"/>
        <v>-2.0669154052987824</v>
      </c>
      <c r="M10" s="36">
        <f t="shared" si="2"/>
        <v>-2.0669154052987824</v>
      </c>
    </row>
    <row r="11" spans="2:21" ht="12" x14ac:dyDescent="0.25">
      <c r="B11" s="34" t="s">
        <v>4</v>
      </c>
      <c r="C11" s="37">
        <f>C13-C7</f>
        <v>-2614.1999999999998</v>
      </c>
      <c r="D11" s="37">
        <f>D13-D7</f>
        <v>-3318.5</v>
      </c>
      <c r="E11" s="37">
        <f>E13-E7</f>
        <v>-2897</v>
      </c>
      <c r="F11" s="37">
        <f>F13-F7</f>
        <v>-4734.1000000000004</v>
      </c>
      <c r="G11" s="37">
        <f>G13-G7</f>
        <v>-13563.8</v>
      </c>
      <c r="H11" s="38"/>
      <c r="I11" s="37">
        <f>I9*I10</f>
        <v>-3210.7296584187998</v>
      </c>
      <c r="J11" s="37">
        <f>J9*J10</f>
        <v>-3918.4884992535008</v>
      </c>
      <c r="K11" s="37">
        <f>K9*K10</f>
        <v>-3259.4802955166256</v>
      </c>
      <c r="L11" s="37">
        <f>L9*L10</f>
        <v>-5366.0984810543596</v>
      </c>
      <c r="M11" s="37">
        <f>SUM(I11:L11)</f>
        <v>-15754.796934243286</v>
      </c>
    </row>
    <row r="13" spans="2:21" s="10" customFormat="1" ht="12.6" thickBot="1" x14ac:dyDescent="0.3">
      <c r="B13" s="78" t="s">
        <v>69</v>
      </c>
      <c r="C13" s="158">
        <f>'Income Statement'!H9</f>
        <v>-3777</v>
      </c>
      <c r="D13" s="158">
        <f>'Income Statement'!I9</f>
        <v>-4544</v>
      </c>
      <c r="E13" s="158">
        <f>'Income Statement'!J9</f>
        <v>-4263</v>
      </c>
      <c r="F13" s="158">
        <f>'Income Statement'!K9</f>
        <v>-6034</v>
      </c>
      <c r="G13" s="158">
        <f>SUM(C13:F13)</f>
        <v>-18618</v>
      </c>
      <c r="H13" s="157"/>
      <c r="I13" s="79">
        <f t="shared" ref="I13:M13" si="3">I7+I11</f>
        <v>-4554.2046584188001</v>
      </c>
      <c r="J13" s="79">
        <f t="shared" si="3"/>
        <v>-5261.9634992535011</v>
      </c>
      <c r="K13" s="79">
        <f t="shared" si="3"/>
        <v>-4602.9552955166255</v>
      </c>
      <c r="L13" s="79">
        <f t="shared" si="3"/>
        <v>-6709.5734810543599</v>
      </c>
      <c r="M13" s="79">
        <f t="shared" si="3"/>
        <v>-21128.696934243286</v>
      </c>
    </row>
  </sheetData>
  <sheetProtection algorithmName="SHA-512" hashValue="YR8hjnTgDmjbqvOL9v5T1dQeU3rMcRpwYDanSn9nIqBBTkpWT8XlmiUXXN1QfbDHA3VjBhFGmnPzwWo3an+L4w==" saltValue="+LfLuLCXf/fYN+mFqZA1VA==" spinCount="100000" sheet="1" objects="1" scenarios="1" selectLockedCells="1" selectUnlockedCells="1"/>
  <mergeCells count="2">
    <mergeCell ref="C3:G3"/>
    <mergeCell ref="I3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29"/>
  <sheetViews>
    <sheetView workbookViewId="0">
      <selection activeCell="E38" sqref="E38"/>
    </sheetView>
  </sheetViews>
  <sheetFormatPr defaultColWidth="9.109375" defaultRowHeight="11.4" x14ac:dyDescent="0.2"/>
  <cols>
    <col min="1" max="1" width="2" style="2" customWidth="1"/>
    <col min="2" max="2" width="19.5546875" style="2" customWidth="1"/>
    <col min="3" max="7" width="9.109375" style="2"/>
    <col min="8" max="8" width="1.6640625" style="2" customWidth="1"/>
    <col min="9" max="12" width="9.109375" style="2"/>
    <col min="13" max="13" width="9.109375" style="2" customWidth="1"/>
    <col min="14" max="16384" width="9.109375" style="2"/>
  </cols>
  <sheetData>
    <row r="1" spans="2:13" ht="15.6" x14ac:dyDescent="0.3">
      <c r="B1" s="3" t="s">
        <v>6</v>
      </c>
    </row>
    <row r="3" spans="2:13" ht="12" x14ac:dyDescent="0.25">
      <c r="C3" s="74" t="s">
        <v>85</v>
      </c>
      <c r="D3" s="74"/>
      <c r="E3" s="74"/>
      <c r="F3" s="74"/>
      <c r="G3" s="74"/>
      <c r="H3" s="40"/>
      <c r="I3" s="74" t="s">
        <v>47</v>
      </c>
      <c r="J3" s="74"/>
      <c r="K3" s="74"/>
      <c r="L3" s="74"/>
      <c r="M3" s="74"/>
    </row>
    <row r="4" spans="2:13" ht="12.6" thickBot="1" x14ac:dyDescent="0.3">
      <c r="B4" s="33" t="s">
        <v>72</v>
      </c>
      <c r="C4" s="41" t="s">
        <v>14</v>
      </c>
      <c r="D4" s="41" t="s">
        <v>15</v>
      </c>
      <c r="E4" s="41" t="s">
        <v>16</v>
      </c>
      <c r="F4" s="41" t="s">
        <v>17</v>
      </c>
      <c r="G4" s="41" t="s">
        <v>113</v>
      </c>
      <c r="H4" s="62"/>
      <c r="I4" s="41" t="s">
        <v>14</v>
      </c>
      <c r="J4" s="41" t="s">
        <v>15</v>
      </c>
      <c r="K4" s="41" t="s">
        <v>16</v>
      </c>
      <c r="L4" s="41" t="s">
        <v>17</v>
      </c>
      <c r="M4" s="41" t="s">
        <v>124</v>
      </c>
    </row>
    <row r="5" spans="2:13" x14ac:dyDescent="0.2">
      <c r="B5" s="2" t="s">
        <v>80</v>
      </c>
      <c r="C5" s="75">
        <v>-300</v>
      </c>
      <c r="D5" s="75">
        <v>-300</v>
      </c>
      <c r="E5" s="75">
        <v>-300</v>
      </c>
      <c r="F5" s="75">
        <v>-300</v>
      </c>
      <c r="G5" s="75">
        <v>-1200</v>
      </c>
      <c r="I5" s="35">
        <f>C5</f>
        <v>-300</v>
      </c>
      <c r="J5" s="35">
        <f t="shared" ref="J5:L5" si="0">D5</f>
        <v>-300</v>
      </c>
      <c r="K5" s="35">
        <f t="shared" si="0"/>
        <v>-300</v>
      </c>
      <c r="L5" s="35">
        <f t="shared" si="0"/>
        <v>-300</v>
      </c>
      <c r="M5" s="44">
        <f>SUM(I5:L5)</f>
        <v>-1200</v>
      </c>
    </row>
    <row r="6" spans="2:13" x14ac:dyDescent="0.2">
      <c r="B6" s="43" t="s">
        <v>86</v>
      </c>
    </row>
    <row r="7" spans="2:13" x14ac:dyDescent="0.2">
      <c r="B7" s="43"/>
    </row>
    <row r="8" spans="2:13" x14ac:dyDescent="0.2">
      <c r="B8" s="2" t="s">
        <v>88</v>
      </c>
      <c r="C8" s="75">
        <v>-20</v>
      </c>
      <c r="D8" s="75">
        <v>-20</v>
      </c>
      <c r="E8" s="75">
        <v>-20</v>
      </c>
      <c r="F8" s="75">
        <v>-24</v>
      </c>
      <c r="G8" s="75">
        <v>-84</v>
      </c>
      <c r="I8" s="44">
        <f>AVERAGE($C$8:$F$8)</f>
        <v>-21</v>
      </c>
      <c r="J8" s="44">
        <f t="shared" ref="J8:L8" si="1">AVERAGE($C$8:$F$8)</f>
        <v>-21</v>
      </c>
      <c r="K8" s="44">
        <f t="shared" si="1"/>
        <v>-21</v>
      </c>
      <c r="L8" s="44">
        <f t="shared" si="1"/>
        <v>-21</v>
      </c>
      <c r="M8" s="44">
        <f>SUM(I8:L8)</f>
        <v>-84</v>
      </c>
    </row>
    <row r="9" spans="2:13" x14ac:dyDescent="0.2">
      <c r="B9" s="43" t="s">
        <v>86</v>
      </c>
      <c r="C9" s="77"/>
      <c r="D9" s="77"/>
      <c r="E9" s="77"/>
      <c r="F9" s="77"/>
      <c r="G9" s="77"/>
    </row>
    <row r="10" spans="2:13" x14ac:dyDescent="0.2">
      <c r="B10" s="43"/>
      <c r="C10" s="77"/>
      <c r="D10" s="77"/>
      <c r="E10" s="77"/>
      <c r="F10" s="77"/>
      <c r="G10" s="77"/>
    </row>
    <row r="11" spans="2:13" x14ac:dyDescent="0.2">
      <c r="B11" s="2" t="s">
        <v>81</v>
      </c>
      <c r="C11" s="75">
        <v>-53</v>
      </c>
      <c r="D11" s="75">
        <v>-52</v>
      </c>
      <c r="E11" s="75">
        <v>-52</v>
      </c>
      <c r="F11" s="75">
        <v>-54</v>
      </c>
      <c r="G11" s="75">
        <v>-211</v>
      </c>
      <c r="I11" s="44">
        <f>AVERAGE($C$11:$F$11)</f>
        <v>-52.75</v>
      </c>
      <c r="J11" s="44">
        <f t="shared" ref="J11:L11" si="2">AVERAGE($C$11:$F$11)</f>
        <v>-52.75</v>
      </c>
      <c r="K11" s="44">
        <f t="shared" si="2"/>
        <v>-52.75</v>
      </c>
      <c r="L11" s="44">
        <f t="shared" si="2"/>
        <v>-52.75</v>
      </c>
      <c r="M11" s="44">
        <f t="shared" ref="M11" si="3">G11</f>
        <v>-211</v>
      </c>
    </row>
    <row r="12" spans="2:13" x14ac:dyDescent="0.2">
      <c r="B12" s="43" t="s">
        <v>86</v>
      </c>
      <c r="C12" s="77"/>
      <c r="D12" s="77"/>
      <c r="E12" s="77"/>
      <c r="F12" s="77"/>
      <c r="G12" s="77"/>
    </row>
    <row r="13" spans="2:13" x14ac:dyDescent="0.2">
      <c r="C13" s="77"/>
      <c r="D13" s="77"/>
      <c r="E13" s="77"/>
      <c r="F13" s="77"/>
      <c r="G13" s="77"/>
    </row>
    <row r="14" spans="2:13" x14ac:dyDescent="0.2">
      <c r="B14" s="2" t="s">
        <v>84</v>
      </c>
      <c r="C14" s="75">
        <v>-50</v>
      </c>
      <c r="D14" s="75">
        <v>-50</v>
      </c>
      <c r="E14" s="75">
        <v>-50</v>
      </c>
      <c r="F14" s="75">
        <v>-50</v>
      </c>
      <c r="G14" s="75">
        <v>-200</v>
      </c>
      <c r="I14" s="44">
        <f>C14</f>
        <v>-50</v>
      </c>
      <c r="J14" s="44">
        <f t="shared" ref="J14" si="4">D14</f>
        <v>-50</v>
      </c>
      <c r="K14" s="44">
        <f t="shared" ref="K14" si="5">E14</f>
        <v>-50</v>
      </c>
      <c r="L14" s="44">
        <f t="shared" ref="L14" si="6">F14</f>
        <v>-50</v>
      </c>
      <c r="M14" s="44">
        <f t="shared" ref="M14" si="7">G14</f>
        <v>-200</v>
      </c>
    </row>
    <row r="15" spans="2:13" x14ac:dyDescent="0.2">
      <c r="B15" s="43" t="s">
        <v>86</v>
      </c>
      <c r="C15" s="77"/>
      <c r="D15" s="77"/>
      <c r="E15" s="77"/>
      <c r="F15" s="77"/>
      <c r="G15" s="77"/>
    </row>
    <row r="16" spans="2:13" x14ac:dyDescent="0.2">
      <c r="C16" s="77"/>
      <c r="D16" s="77"/>
      <c r="E16" s="77"/>
      <c r="F16" s="77"/>
      <c r="G16" s="77"/>
    </row>
    <row r="17" spans="2:13" x14ac:dyDescent="0.2">
      <c r="B17" s="2" t="s">
        <v>89</v>
      </c>
      <c r="C17" s="75">
        <v>-2000</v>
      </c>
      <c r="D17" s="75">
        <v>-2000</v>
      </c>
      <c r="E17" s="75">
        <v>-2000</v>
      </c>
      <c r="F17" s="75">
        <v>-2000</v>
      </c>
      <c r="G17" s="75">
        <v>-8000</v>
      </c>
      <c r="I17" s="44">
        <f>C17</f>
        <v>-2000</v>
      </c>
      <c r="J17" s="44">
        <f t="shared" ref="J17:L17" si="8">D17</f>
        <v>-2000</v>
      </c>
      <c r="K17" s="44">
        <f t="shared" si="8"/>
        <v>-2000</v>
      </c>
      <c r="L17" s="44">
        <f t="shared" si="8"/>
        <v>-2000</v>
      </c>
      <c r="M17" s="44">
        <f>G17</f>
        <v>-8000</v>
      </c>
    </row>
    <row r="18" spans="2:13" x14ac:dyDescent="0.2">
      <c r="B18" s="43" t="s">
        <v>86</v>
      </c>
      <c r="C18" s="77"/>
      <c r="D18" s="77"/>
      <c r="E18" s="77"/>
      <c r="F18" s="77"/>
      <c r="G18" s="77"/>
    </row>
    <row r="19" spans="2:13" x14ac:dyDescent="0.2">
      <c r="C19" s="77"/>
      <c r="D19" s="77"/>
      <c r="E19" s="77"/>
      <c r="F19" s="77"/>
      <c r="G19" s="77"/>
    </row>
    <row r="20" spans="2:13" x14ac:dyDescent="0.2">
      <c r="B20" s="2" t="s">
        <v>83</v>
      </c>
      <c r="C20" s="75">
        <v>-788.09999999999991</v>
      </c>
      <c r="D20" s="75">
        <v>-173.53999999999951</v>
      </c>
      <c r="E20" s="75">
        <v>-764.89000000000033</v>
      </c>
      <c r="F20" s="75">
        <v>-452.94999999999982</v>
      </c>
      <c r="G20" s="75">
        <v>-2179.4799999999996</v>
      </c>
      <c r="I20" s="44">
        <f>AVERAGE($C$20:$F$20)</f>
        <v>-544.86999999999989</v>
      </c>
      <c r="J20" s="44">
        <f t="shared" ref="J20:L20" si="9">AVERAGE($C$20:$F$20)</f>
        <v>-544.86999999999989</v>
      </c>
      <c r="K20" s="44">
        <f t="shared" si="9"/>
        <v>-544.86999999999989</v>
      </c>
      <c r="L20" s="44">
        <f t="shared" si="9"/>
        <v>-544.86999999999989</v>
      </c>
      <c r="M20" s="44">
        <f>SUM(I20:L20)</f>
        <v>-2179.4799999999996</v>
      </c>
    </row>
    <row r="21" spans="2:13" x14ac:dyDescent="0.2">
      <c r="B21" s="43" t="s">
        <v>86</v>
      </c>
      <c r="C21" s="77"/>
      <c r="D21" s="77"/>
      <c r="E21" s="77"/>
      <c r="F21" s="77"/>
      <c r="G21" s="77"/>
    </row>
    <row r="22" spans="2:13" x14ac:dyDescent="0.2">
      <c r="C22" s="77"/>
      <c r="D22" s="77"/>
      <c r="E22" s="77"/>
      <c r="F22" s="77"/>
      <c r="G22" s="77"/>
    </row>
    <row r="23" spans="2:13" x14ac:dyDescent="0.2">
      <c r="B23" s="2" t="s">
        <v>82</v>
      </c>
      <c r="C23" s="75">
        <v>-225.9</v>
      </c>
      <c r="D23" s="75">
        <v>-263.86</v>
      </c>
      <c r="E23" s="75">
        <v>-223.01</v>
      </c>
      <c r="F23" s="75">
        <v>-304.55</v>
      </c>
      <c r="G23" s="75">
        <v>-1017.32</v>
      </c>
      <c r="I23" s="35">
        <f>-I24*'Revenue Budget'!C23</f>
        <v>-259.78499999999997</v>
      </c>
      <c r="J23" s="35">
        <f>-J24*'Revenue Budget'!D23</f>
        <v>-303.43899999999996</v>
      </c>
      <c r="K23" s="35">
        <f>-K24*'Revenue Budget'!E23</f>
        <v>-256.4615</v>
      </c>
      <c r="L23" s="35">
        <f>-L24*'Revenue Budget'!F23</f>
        <v>-350.23250000000002</v>
      </c>
      <c r="M23" s="35">
        <f>-M24*'Revenue Budget'!G23</f>
        <v>-1169.9179999999999</v>
      </c>
    </row>
    <row r="24" spans="2:13" x14ac:dyDescent="0.2">
      <c r="B24" s="43" t="s">
        <v>114</v>
      </c>
      <c r="C24" s="29">
        <v>0.01</v>
      </c>
      <c r="D24" s="29">
        <v>0.01</v>
      </c>
      <c r="E24" s="29">
        <v>0.01</v>
      </c>
      <c r="F24" s="29">
        <v>0.01</v>
      </c>
      <c r="G24" s="29">
        <v>0.01</v>
      </c>
      <c r="I24" s="29">
        <f>C24</f>
        <v>0.01</v>
      </c>
      <c r="J24" s="29">
        <f t="shared" ref="J24:M24" si="10">D24</f>
        <v>0.01</v>
      </c>
      <c r="K24" s="29">
        <f t="shared" si="10"/>
        <v>0.01</v>
      </c>
      <c r="L24" s="29">
        <f t="shared" si="10"/>
        <v>0.01</v>
      </c>
      <c r="M24" s="29">
        <f t="shared" si="10"/>
        <v>0.01</v>
      </c>
    </row>
    <row r="26" spans="2:13" x14ac:dyDescent="0.2">
      <c r="B26" s="2" t="s">
        <v>87</v>
      </c>
      <c r="C26" s="75">
        <v>-2259</v>
      </c>
      <c r="D26" s="75">
        <v>-2638.6000000000004</v>
      </c>
      <c r="E26" s="75">
        <v>-2230.1</v>
      </c>
      <c r="F26" s="75">
        <v>-3045.5</v>
      </c>
      <c r="G26" s="75">
        <v>-10173.200000000001</v>
      </c>
      <c r="I26" s="35">
        <f>-I27*'Revenue Budget'!C23</f>
        <v>-2597.85</v>
      </c>
      <c r="J26" s="35">
        <f>-J27*'Revenue Budget'!D23</f>
        <v>-3034.39</v>
      </c>
      <c r="K26" s="35">
        <f>-K27*'Revenue Budget'!E23</f>
        <v>-2564.6149999999998</v>
      </c>
      <c r="L26" s="35">
        <f>-L27*'Revenue Budget'!F23</f>
        <v>-3502.3250000000003</v>
      </c>
      <c r="M26" s="35">
        <f>-M27*'Revenue Budget'!G23</f>
        <v>-11699.18</v>
      </c>
    </row>
    <row r="27" spans="2:13" x14ac:dyDescent="0.2">
      <c r="B27" s="43" t="s">
        <v>114</v>
      </c>
      <c r="C27" s="29">
        <v>0.1</v>
      </c>
      <c r="D27" s="29">
        <v>0.1</v>
      </c>
      <c r="E27" s="29">
        <v>0.1</v>
      </c>
      <c r="F27" s="29">
        <v>0.1</v>
      </c>
      <c r="G27" s="29">
        <v>0.1</v>
      </c>
      <c r="I27" s="29">
        <f>C27</f>
        <v>0.1</v>
      </c>
      <c r="J27" s="29">
        <f t="shared" ref="J27:M27" si="11">D27</f>
        <v>0.1</v>
      </c>
      <c r="K27" s="29">
        <f t="shared" si="11"/>
        <v>0.1</v>
      </c>
      <c r="L27" s="29">
        <f t="shared" si="11"/>
        <v>0.1</v>
      </c>
      <c r="M27" s="29">
        <f t="shared" si="11"/>
        <v>0.1</v>
      </c>
    </row>
    <row r="29" spans="2:13" s="10" customFormat="1" ht="12.6" thickBot="1" x14ac:dyDescent="0.3">
      <c r="B29" s="78" t="s">
        <v>6</v>
      </c>
      <c r="C29" s="79">
        <f>C5+C8+C11+C14+C17+C20+C23+C26</f>
        <v>-5696</v>
      </c>
      <c r="D29" s="79">
        <f>D5+D8+D11+D14+D17+D20+D23+D26</f>
        <v>-5498</v>
      </c>
      <c r="E29" s="79">
        <f>E5+E8+E11+E14+E17+E20+E23+E26</f>
        <v>-5640</v>
      </c>
      <c r="F29" s="79">
        <f>F5+F8+F11+F14+F17+F20+F23+F26</f>
        <v>-6231</v>
      </c>
      <c r="G29" s="79">
        <f>G5+G8+G11+G14+G17+G20+G23+G26</f>
        <v>-23065</v>
      </c>
      <c r="H29" s="157"/>
      <c r="I29" s="79">
        <f t="shared" ref="I29:M29" si="12">I5+I8+I11+I14+I17+I20+I23+I26</f>
        <v>-5826.2549999999992</v>
      </c>
      <c r="J29" s="79">
        <f t="shared" si="12"/>
        <v>-6306.4489999999996</v>
      </c>
      <c r="K29" s="79">
        <f t="shared" si="12"/>
        <v>-5789.6965</v>
      </c>
      <c r="L29" s="79">
        <f t="shared" si="12"/>
        <v>-6821.1774999999998</v>
      </c>
      <c r="M29" s="79">
        <f t="shared" si="12"/>
        <v>-24743.578000000001</v>
      </c>
    </row>
  </sheetData>
  <sheetProtection algorithmName="SHA-512" hashValue="MpRCQTOw5zI8N2z/rPukI2gTugNSfuzjvh/Eshuvoj4uP4PgNZ0ld7PUE4NMovoeMZFTseZo5nFepIkDINZHSQ==" saltValue="RcXA50RT0gMUfzpHWg5xjA==" spinCount="100000" sheet="1" objects="1" scenarios="1" selectLockedCells="1" selectUnlockedCells="1"/>
  <mergeCells count="2">
    <mergeCell ref="C3:G3"/>
    <mergeCell ref="I3:M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13"/>
  <sheetViews>
    <sheetView workbookViewId="0">
      <selection activeCell="E38" sqref="E38"/>
    </sheetView>
  </sheetViews>
  <sheetFormatPr defaultColWidth="9.109375" defaultRowHeight="11.4" x14ac:dyDescent="0.2"/>
  <cols>
    <col min="1" max="1" width="2" style="2" customWidth="1"/>
    <col min="2" max="2" width="38.44140625" style="2" bestFit="1" customWidth="1"/>
    <col min="3" max="6" width="9.109375" style="2"/>
    <col min="7" max="7" width="2.6640625" style="2" customWidth="1"/>
    <col min="8" max="16384" width="9.109375" style="2"/>
  </cols>
  <sheetData>
    <row r="1" spans="2:13" ht="15.6" x14ac:dyDescent="0.3">
      <c r="B1" s="3" t="s">
        <v>23</v>
      </c>
    </row>
    <row r="3" spans="2:13" ht="12" x14ac:dyDescent="0.25">
      <c r="B3" s="69"/>
      <c r="C3" s="74" t="s">
        <v>85</v>
      </c>
      <c r="D3" s="74"/>
      <c r="E3" s="74"/>
      <c r="F3" s="74"/>
      <c r="H3" s="74" t="s">
        <v>47</v>
      </c>
      <c r="I3" s="74"/>
      <c r="J3" s="74"/>
      <c r="K3" s="74"/>
    </row>
    <row r="4" spans="2:13" ht="24.6" thickBot="1" x14ac:dyDescent="0.3">
      <c r="B4" s="33" t="s">
        <v>18</v>
      </c>
      <c r="C4" s="42" t="s">
        <v>115</v>
      </c>
      <c r="D4" s="42" t="s">
        <v>116</v>
      </c>
      <c r="E4" s="42" t="s">
        <v>117</v>
      </c>
      <c r="F4" s="42" t="s">
        <v>118</v>
      </c>
      <c r="H4" s="42" t="s">
        <v>125</v>
      </c>
      <c r="I4" s="42" t="s">
        <v>126</v>
      </c>
      <c r="J4" s="42" t="s">
        <v>127</v>
      </c>
      <c r="K4" s="42" t="s">
        <v>128</v>
      </c>
    </row>
    <row r="5" spans="2:13" x14ac:dyDescent="0.2">
      <c r="B5" s="2" t="s">
        <v>41</v>
      </c>
      <c r="C5" s="159">
        <f>'Balance Sheet'!F10</f>
        <v>1381</v>
      </c>
      <c r="D5" s="159">
        <f>'Balance Sheet'!G10</f>
        <v>1339</v>
      </c>
      <c r="E5" s="159">
        <f>'Balance Sheet'!H10</f>
        <v>1283</v>
      </c>
      <c r="F5" s="159">
        <f>'Balance Sheet'!I10</f>
        <v>1288</v>
      </c>
      <c r="H5" s="11">
        <f>F9</f>
        <v>1313</v>
      </c>
      <c r="I5" s="11">
        <f>H9</f>
        <v>1301.3540687224965</v>
      </c>
      <c r="J5" s="11">
        <f>I9</f>
        <v>1299.535571498229</v>
      </c>
      <c r="K5" s="11">
        <f>J9</f>
        <v>1281.7238756855586</v>
      </c>
    </row>
    <row r="6" spans="2:13" x14ac:dyDescent="0.2">
      <c r="B6" s="35" t="s">
        <v>8</v>
      </c>
      <c r="C6" s="84">
        <f>'Income Statement'!H13</f>
        <v>-85</v>
      </c>
      <c r="D6" s="84">
        <f>'Income Statement'!I13</f>
        <v>-85</v>
      </c>
      <c r="E6" s="84">
        <f>'Income Statement'!J13</f>
        <v>-85</v>
      </c>
      <c r="F6" s="84">
        <f>'Income Statement'!K13</f>
        <v>-85</v>
      </c>
      <c r="H6" s="35">
        <f>H7*H5</f>
        <v>-80.814627081824767</v>
      </c>
      <c r="I6" s="35">
        <f>I7*I5</f>
        <v>-82.610228410315301</v>
      </c>
      <c r="J6" s="35">
        <f>J7*J5</f>
        <v>-86.09549772201828</v>
      </c>
      <c r="K6" s="35">
        <f>K7*K5</f>
        <v>-84.585814777385465</v>
      </c>
      <c r="L6" s="44"/>
    </row>
    <row r="7" spans="2:13" x14ac:dyDescent="0.2">
      <c r="B7" s="43" t="s">
        <v>91</v>
      </c>
      <c r="C7" s="48">
        <f>C6/C5</f>
        <v>-6.1549601737871107E-2</v>
      </c>
      <c r="D7" s="48">
        <f t="shared" ref="D7:F7" si="0">D6/D5</f>
        <v>-6.3480209111277067E-2</v>
      </c>
      <c r="E7" s="48">
        <f t="shared" si="0"/>
        <v>-6.6250974279033509E-2</v>
      </c>
      <c r="F7" s="48">
        <f t="shared" si="0"/>
        <v>-6.5993788819875776E-2</v>
      </c>
      <c r="H7" s="48">
        <f>C7</f>
        <v>-6.1549601737871107E-2</v>
      </c>
      <c r="I7" s="48">
        <f t="shared" ref="I7:K7" si="1">D7</f>
        <v>-6.3480209111277067E-2</v>
      </c>
      <c r="J7" s="48">
        <f t="shared" si="1"/>
        <v>-6.6250974279033509E-2</v>
      </c>
      <c r="K7" s="48">
        <f t="shared" si="1"/>
        <v>-6.5993788819875776E-2</v>
      </c>
    </row>
    <row r="8" spans="2:13" x14ac:dyDescent="0.2">
      <c r="B8" s="2" t="s">
        <v>35</v>
      </c>
      <c r="C8" s="11">
        <f>C9-SUM(C5:C6)</f>
        <v>43</v>
      </c>
      <c r="D8" s="11">
        <f t="shared" ref="D8:F8" si="2">D9-SUM(D5:D6)</f>
        <v>29</v>
      </c>
      <c r="E8" s="11">
        <f t="shared" si="2"/>
        <v>90</v>
      </c>
      <c r="F8" s="11">
        <f t="shared" si="2"/>
        <v>110</v>
      </c>
      <c r="H8" s="47">
        <f>H12*H13</f>
        <v>69.168695804321274</v>
      </c>
      <c r="I8" s="47">
        <f>I12*I13</f>
        <v>80.791731186047869</v>
      </c>
      <c r="J8" s="47">
        <f>J12*J13</f>
        <v>68.283801909347886</v>
      </c>
      <c r="K8" s="47">
        <f>K12*K13</f>
        <v>93.2506697972822</v>
      </c>
    </row>
    <row r="9" spans="2:13" ht="12.6" thickBot="1" x14ac:dyDescent="0.3">
      <c r="B9" s="67" t="s">
        <v>42</v>
      </c>
      <c r="C9" s="158">
        <f>'Balance Sheet'!G10</f>
        <v>1339</v>
      </c>
      <c r="D9" s="158">
        <f>'Balance Sheet'!H10</f>
        <v>1283</v>
      </c>
      <c r="E9" s="158">
        <f>'Balance Sheet'!I10</f>
        <v>1288</v>
      </c>
      <c r="F9" s="158">
        <f>'Balance Sheet'!J10</f>
        <v>1313</v>
      </c>
      <c r="G9" s="68"/>
      <c r="H9" s="79">
        <f>H5+H6+H8</f>
        <v>1301.3540687224965</v>
      </c>
      <c r="I9" s="79">
        <f>I5+I6+I8</f>
        <v>1299.535571498229</v>
      </c>
      <c r="J9" s="79">
        <f>J5+J6+J8</f>
        <v>1281.7238756855586</v>
      </c>
      <c r="K9" s="79">
        <f>K5+K6+K8</f>
        <v>1290.3887307054554</v>
      </c>
      <c r="L9" s="68"/>
      <c r="M9" s="68"/>
    </row>
    <row r="12" spans="2:13" x14ac:dyDescent="0.2">
      <c r="B12" s="2" t="s">
        <v>1</v>
      </c>
      <c r="C12" s="159">
        <f>'Income Statement'!H7</f>
        <v>22590</v>
      </c>
      <c r="D12" s="159">
        <f>'Income Statement'!I7</f>
        <v>26386</v>
      </c>
      <c r="E12" s="159">
        <f>'Income Statement'!J7</f>
        <v>22301</v>
      </c>
      <c r="F12" s="159">
        <f>'Income Statement'!K7</f>
        <v>30455</v>
      </c>
      <c r="G12" s="160"/>
      <c r="H12" s="159">
        <f>'Revenue Budget'!C23</f>
        <v>25978.499999999996</v>
      </c>
      <c r="I12" s="159">
        <f>'Revenue Budget'!D23</f>
        <v>30343.899999999998</v>
      </c>
      <c r="J12" s="159">
        <f>'Revenue Budget'!E23</f>
        <v>25646.149999999998</v>
      </c>
      <c r="K12" s="159">
        <f>'Revenue Budget'!F23</f>
        <v>35023.25</v>
      </c>
    </row>
    <row r="13" spans="2:13" x14ac:dyDescent="0.2">
      <c r="B13" s="2" t="s">
        <v>133</v>
      </c>
      <c r="C13" s="45">
        <f>C8/C12</f>
        <v>1.9034971226206286E-3</v>
      </c>
      <c r="D13" s="45">
        <f>D8/D12</f>
        <v>1.0990676874099901E-3</v>
      </c>
      <c r="E13" s="45">
        <f>E8/E12</f>
        <v>4.0356934666606874E-3</v>
      </c>
      <c r="F13" s="45">
        <f>F8/F12</f>
        <v>3.6118863897553768E-3</v>
      </c>
      <c r="H13" s="46">
        <f>AVERAGE($C$13:$F$13)</f>
        <v>2.6625361666116707E-3</v>
      </c>
      <c r="I13" s="46">
        <f>AVERAGE($C$13:$F$13)</f>
        <v>2.6625361666116707E-3</v>
      </c>
      <c r="J13" s="46">
        <f>AVERAGE($C$13:$F$13)</f>
        <v>2.6625361666116707E-3</v>
      </c>
      <c r="K13" s="46">
        <f>AVERAGE($C$13:$F$13)</f>
        <v>2.6625361666116707E-3</v>
      </c>
    </row>
  </sheetData>
  <sheetProtection algorithmName="SHA-512" hashValue="jAzLLHSKQ+p/ryS0U3N2pI4O1XMmDfqyS0xspfNIW61qCBsJCUz7nDzSymmdQpydKn1kzhnD5eSi7p4w8CiiuA==" saltValue="tp4qKR9KzJL/1ZEiedlqyg==" spinCount="100000" sheet="1" objects="1" scenarios="1" selectLockedCells="1" selectUnlockedCells="1"/>
  <mergeCells count="2">
    <mergeCell ref="H3:K3"/>
    <mergeCell ref="C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15"/>
  <sheetViews>
    <sheetView workbookViewId="0">
      <selection activeCell="E38" sqref="E38"/>
    </sheetView>
  </sheetViews>
  <sheetFormatPr defaultColWidth="9.109375" defaultRowHeight="11.4" x14ac:dyDescent="0.2"/>
  <cols>
    <col min="1" max="1" width="2" style="2" customWidth="1"/>
    <col min="2" max="2" width="34.5546875" style="2" customWidth="1"/>
    <col min="3" max="3" width="10.88671875" style="2" bestFit="1" customWidth="1"/>
    <col min="4" max="6" width="9.109375" style="2"/>
    <col min="7" max="7" width="1.5546875" style="2" customWidth="1"/>
    <col min="8" max="8" width="8.109375" style="2" bestFit="1" customWidth="1"/>
    <col min="9" max="16384" width="9.109375" style="2"/>
  </cols>
  <sheetData>
    <row r="1" spans="2:11" ht="15.6" x14ac:dyDescent="0.3">
      <c r="B1" s="3" t="s">
        <v>92</v>
      </c>
    </row>
    <row r="3" spans="2:11" ht="12" x14ac:dyDescent="0.25">
      <c r="B3" s="50"/>
      <c r="C3" s="74" t="s">
        <v>85</v>
      </c>
      <c r="D3" s="74"/>
      <c r="E3" s="74"/>
      <c r="F3" s="74"/>
      <c r="H3" s="74" t="s">
        <v>47</v>
      </c>
      <c r="I3" s="74"/>
      <c r="J3" s="74"/>
      <c r="K3" s="74"/>
    </row>
    <row r="4" spans="2:11" ht="24.6" thickBot="1" x14ac:dyDescent="0.3">
      <c r="B4" s="49" t="s">
        <v>18</v>
      </c>
      <c r="C4" s="42" t="s">
        <v>115</v>
      </c>
      <c r="D4" s="42" t="s">
        <v>116</v>
      </c>
      <c r="E4" s="42" t="s">
        <v>117</v>
      </c>
      <c r="F4" s="42" t="s">
        <v>118</v>
      </c>
      <c r="H4" s="42" t="s">
        <v>125</v>
      </c>
      <c r="I4" s="42" t="s">
        <v>126</v>
      </c>
      <c r="J4" s="42" t="s">
        <v>127</v>
      </c>
      <c r="K4" s="42" t="s">
        <v>128</v>
      </c>
    </row>
    <row r="5" spans="2:11" x14ac:dyDescent="0.2">
      <c r="B5" s="2" t="s">
        <v>90</v>
      </c>
      <c r="C5" s="161">
        <f>'Revenue Budget'!C16</f>
        <v>22590</v>
      </c>
      <c r="D5" s="161">
        <f>'Revenue Budget'!D16</f>
        <v>26386</v>
      </c>
      <c r="E5" s="161">
        <f>'Revenue Budget'!E16</f>
        <v>22301</v>
      </c>
      <c r="F5" s="161">
        <f>'Revenue Budget'!F16</f>
        <v>30455</v>
      </c>
      <c r="H5" s="159">
        <f>'Revenue Budget'!C23</f>
        <v>25978.499999999996</v>
      </c>
      <c r="I5" s="159">
        <f>'Revenue Budget'!D23</f>
        <v>30343.899999999998</v>
      </c>
      <c r="J5" s="159">
        <f>'Revenue Budget'!E23</f>
        <v>25646.149999999998</v>
      </c>
      <c r="K5" s="159">
        <f>'Revenue Budget'!F23</f>
        <v>35023.25</v>
      </c>
    </row>
    <row r="6" spans="2:11" x14ac:dyDescent="0.2">
      <c r="B6" s="2" t="s">
        <v>93</v>
      </c>
      <c r="C6" s="84">
        <f>'Income Statement'!H8+'Income Statement'!H9</f>
        <v>-12593</v>
      </c>
      <c r="D6" s="84">
        <f>'Income Statement'!I8+'Income Statement'!I9</f>
        <v>-14817</v>
      </c>
      <c r="E6" s="84">
        <f>'Income Statement'!J8+'Income Statement'!J9</f>
        <v>-13653</v>
      </c>
      <c r="F6" s="84">
        <f>'Income Statement'!K8+'Income Statement'!K9</f>
        <v>-18068</v>
      </c>
      <c r="H6" s="35">
        <f>'Cost of Sales - Ad Campaigns'!I13+'Cost of Sales - SEO Campaigns'!I13</f>
        <v>-14011.375771480769</v>
      </c>
      <c r="I6" s="35">
        <f>'Cost of Sales - Ad Campaigns'!J13+'Cost of Sales - SEO Campaigns'!J13</f>
        <v>-16080.430949846401</v>
      </c>
      <c r="J6" s="35">
        <f>'Cost of Sales - Ad Campaigns'!K13+'Cost of Sales - SEO Campaigns'!K13</f>
        <v>-14707.001599694993</v>
      </c>
      <c r="K6" s="35">
        <f>'Cost of Sales - Ad Campaigns'!L13+'Cost of Sales - SEO Campaigns'!L13</f>
        <v>-18724.615097120353</v>
      </c>
    </row>
    <row r="7" spans="2:11" x14ac:dyDescent="0.2">
      <c r="C7" s="162"/>
      <c r="D7" s="162"/>
      <c r="E7" s="162"/>
      <c r="F7" s="162"/>
    </row>
    <row r="8" spans="2:11" x14ac:dyDescent="0.2">
      <c r="B8" s="2" t="s">
        <v>153</v>
      </c>
      <c r="C8" s="161">
        <f>'Balance Sheet'!G7</f>
        <v>25144</v>
      </c>
      <c r="D8" s="161">
        <f>'Balance Sheet'!H7</f>
        <v>25014</v>
      </c>
      <c r="E8" s="161">
        <f>'Balance Sheet'!I7</f>
        <v>22868</v>
      </c>
      <c r="F8" s="161">
        <f>'Balance Sheet'!J7</f>
        <v>24231</v>
      </c>
      <c r="H8" s="11">
        <f>H9*H5/90</f>
        <v>25212.909540468128</v>
      </c>
      <c r="I8" s="11">
        <f t="shared" ref="I8:K8" si="0">I9*I5/90</f>
        <v>29449.660519468442</v>
      </c>
      <c r="J8" s="11">
        <f t="shared" si="0"/>
        <v>24890.353946966792</v>
      </c>
      <c r="K8" s="11">
        <f t="shared" si="0"/>
        <v>33991.109342848911</v>
      </c>
    </row>
    <row r="9" spans="2:11" x14ac:dyDescent="0.2">
      <c r="B9" s="20" t="s">
        <v>30</v>
      </c>
      <c r="C9" s="51">
        <f>C8/C5*90</f>
        <v>100.17529880478087</v>
      </c>
      <c r="D9" s="51">
        <f>D8/D5*90</f>
        <v>85.320245584779812</v>
      </c>
      <c r="E9" s="51">
        <f>E8/E5*90</f>
        <v>92.288238195596605</v>
      </c>
      <c r="F9" s="51">
        <f>F8/F5*90</f>
        <v>71.606961090132984</v>
      </c>
      <c r="H9" s="51">
        <f>+AVERAGE($C$9:$F$9)</f>
        <v>87.347685918822563</v>
      </c>
      <c r="I9" s="51">
        <f t="shared" ref="I9:K9" si="1">+AVERAGE($C$9:$F$9)</f>
        <v>87.347685918822563</v>
      </c>
      <c r="J9" s="51">
        <f t="shared" si="1"/>
        <v>87.347685918822563</v>
      </c>
      <c r="K9" s="51">
        <f t="shared" si="1"/>
        <v>87.347685918822563</v>
      </c>
    </row>
    <row r="11" spans="2:11" x14ac:dyDescent="0.2">
      <c r="B11" s="2" t="s">
        <v>154</v>
      </c>
      <c r="C11" s="159">
        <f>'Balance Sheet'!G15</f>
        <v>14938</v>
      </c>
      <c r="D11" s="159">
        <f>'Balance Sheet'!H15</f>
        <v>11806</v>
      </c>
      <c r="E11" s="159">
        <f>'Balance Sheet'!I15</f>
        <v>14195</v>
      </c>
      <c r="F11" s="159">
        <f>'Balance Sheet'!J15</f>
        <v>11002</v>
      </c>
      <c r="H11" s="11">
        <f>-H12*H6/90</f>
        <v>12721.005556694865</v>
      </c>
      <c r="I11" s="11">
        <f>-I12*I6/90</f>
        <v>14599.512196611773</v>
      </c>
      <c r="J11" s="11">
        <f>-J12*J6/90</f>
        <v>13352.568093480531</v>
      </c>
      <c r="K11" s="11">
        <f>-K12*K6/90</f>
        <v>17000.181608309493</v>
      </c>
    </row>
    <row r="12" spans="2:11" x14ac:dyDescent="0.2">
      <c r="B12" s="20" t="s">
        <v>31</v>
      </c>
      <c r="C12" s="51">
        <f>-C11/C6*90</f>
        <v>106.75931072818233</v>
      </c>
      <c r="D12" s="51">
        <f>-D11/D6*90</f>
        <v>71.71087264628467</v>
      </c>
      <c r="E12" s="51">
        <f>-E11/E6*90</f>
        <v>93.572841133816738</v>
      </c>
      <c r="F12" s="51">
        <f>-F11/F6*90</f>
        <v>54.802966570732785</v>
      </c>
      <c r="H12" s="9">
        <f>AVERAGE($C$12:$F$12)</f>
        <v>81.711497769754132</v>
      </c>
      <c r="I12" s="9">
        <f t="shared" ref="I12:K12" si="2">AVERAGE($C$12:$F$12)</f>
        <v>81.711497769754132</v>
      </c>
      <c r="J12" s="9">
        <f t="shared" si="2"/>
        <v>81.711497769754132</v>
      </c>
      <c r="K12" s="9">
        <f t="shared" si="2"/>
        <v>81.711497769754132</v>
      </c>
    </row>
    <row r="14" spans="2:11" x14ac:dyDescent="0.2">
      <c r="B14" s="2" t="s">
        <v>22</v>
      </c>
      <c r="C14" s="159">
        <f>'Balance Sheet'!G8</f>
        <v>0</v>
      </c>
      <c r="D14" s="159">
        <f>'Balance Sheet'!H8</f>
        <v>0</v>
      </c>
      <c r="E14" s="159">
        <f>'Balance Sheet'!I8</f>
        <v>0</v>
      </c>
      <c r="F14" s="159">
        <f>'Balance Sheet'!J8</f>
        <v>0</v>
      </c>
      <c r="G14" s="160"/>
      <c r="H14" s="159">
        <f>C14</f>
        <v>0</v>
      </c>
      <c r="I14" s="159">
        <f t="shared" ref="I14:I15" si="3">D14</f>
        <v>0</v>
      </c>
      <c r="J14" s="159">
        <f t="shared" ref="J14:J15" si="4">E14</f>
        <v>0</v>
      </c>
      <c r="K14" s="159">
        <f t="shared" ref="K14:K15" si="5">F14</f>
        <v>0</v>
      </c>
    </row>
    <row r="15" spans="2:11" x14ac:dyDescent="0.2">
      <c r="B15" s="20" t="s">
        <v>94</v>
      </c>
      <c r="C15" s="163">
        <v>0</v>
      </c>
      <c r="D15" s="163">
        <v>0</v>
      </c>
      <c r="E15" s="163">
        <v>0</v>
      </c>
      <c r="F15" s="163">
        <v>0</v>
      </c>
      <c r="G15" s="160"/>
      <c r="H15" s="164">
        <f t="shared" ref="H15" si="6">C15</f>
        <v>0</v>
      </c>
      <c r="I15" s="164">
        <f t="shared" si="3"/>
        <v>0</v>
      </c>
      <c r="J15" s="164">
        <f t="shared" si="4"/>
        <v>0</v>
      </c>
      <c r="K15" s="164">
        <f t="shared" si="5"/>
        <v>0</v>
      </c>
    </row>
  </sheetData>
  <sheetProtection algorithmName="SHA-512" hashValue="hO79eRtmVce1k8N4ojQ1ZUlrcqJ0YQmChc/v9PePL2wcwqIsP6qK97n1SorqYDLjl7DkVgiCK3047MicxdZCTA==" saltValue="6eDlC/uEdSulCOcGJARWXw==" spinCount="100000" sheet="1" objects="1" scenarios="1" selectLockedCells="1" selectUnlockedCells="1"/>
  <mergeCells count="2">
    <mergeCell ref="H3:K3"/>
    <mergeCell ref="C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15"/>
  <sheetViews>
    <sheetView workbookViewId="0">
      <selection activeCell="E38" sqref="E38"/>
    </sheetView>
  </sheetViews>
  <sheetFormatPr defaultColWidth="9.109375" defaultRowHeight="14.4" x14ac:dyDescent="0.3"/>
  <cols>
    <col min="1" max="1" width="2" style="1" customWidth="1"/>
    <col min="2" max="2" width="18.88671875" style="1" customWidth="1"/>
    <col min="3" max="6" width="9.109375" style="1"/>
    <col min="7" max="7" width="2.5546875" style="1" customWidth="1"/>
    <col min="8" max="16384" width="9.109375" style="1"/>
  </cols>
  <sheetData>
    <row r="1" spans="2:16" ht="15.6" x14ac:dyDescent="0.3">
      <c r="B1" s="3" t="s">
        <v>26</v>
      </c>
    </row>
    <row r="3" spans="2:16" x14ac:dyDescent="0.3">
      <c r="B3" s="50"/>
      <c r="C3" s="74" t="s">
        <v>85</v>
      </c>
      <c r="D3" s="74"/>
      <c r="E3" s="74"/>
      <c r="F3" s="74"/>
      <c r="G3" s="2"/>
      <c r="H3" s="74" t="s">
        <v>47</v>
      </c>
      <c r="I3" s="74"/>
      <c r="J3" s="74"/>
      <c r="K3" s="74"/>
      <c r="L3" s="2"/>
      <c r="M3" s="2"/>
      <c r="N3" s="2"/>
      <c r="O3" s="2"/>
      <c r="P3" s="2"/>
    </row>
    <row r="4" spans="2:16" ht="25.2" thickBot="1" x14ac:dyDescent="0.35">
      <c r="B4" s="49" t="s">
        <v>18</v>
      </c>
      <c r="C4" s="42" t="s">
        <v>115</v>
      </c>
      <c r="D4" s="42" t="s">
        <v>116</v>
      </c>
      <c r="E4" s="42" t="s">
        <v>117</v>
      </c>
      <c r="F4" s="42" t="s">
        <v>118</v>
      </c>
      <c r="G4" s="2"/>
      <c r="H4" s="42" t="s">
        <v>125</v>
      </c>
      <c r="I4" s="42" t="s">
        <v>126</v>
      </c>
      <c r="J4" s="42" t="s">
        <v>127</v>
      </c>
      <c r="K4" s="42" t="s">
        <v>128</v>
      </c>
      <c r="L4" s="2"/>
      <c r="M4" s="2"/>
      <c r="N4" s="2"/>
      <c r="O4" s="2"/>
      <c r="P4" s="2"/>
    </row>
    <row r="5" spans="2:16" x14ac:dyDescent="0.3">
      <c r="B5" s="2" t="s">
        <v>26</v>
      </c>
      <c r="C5" s="159">
        <f>'Balance Sheet'!G18</f>
        <v>4680</v>
      </c>
      <c r="D5" s="159">
        <f>'Balance Sheet'!H18</f>
        <v>4680</v>
      </c>
      <c r="E5" s="159">
        <f>'Balance Sheet'!I18</f>
        <v>4680</v>
      </c>
      <c r="F5" s="159">
        <f>'Balance Sheet'!J18</f>
        <v>4680</v>
      </c>
      <c r="G5" s="2"/>
      <c r="H5" s="11">
        <v>4250</v>
      </c>
      <c r="I5" s="11">
        <v>4250</v>
      </c>
      <c r="J5" s="11">
        <v>4250</v>
      </c>
      <c r="K5" s="11">
        <v>4250</v>
      </c>
      <c r="L5" s="2"/>
      <c r="M5" s="2"/>
      <c r="N5" s="2"/>
      <c r="O5" s="2"/>
      <c r="P5" s="2"/>
    </row>
    <row r="6" spans="2:16" x14ac:dyDescent="0.3">
      <c r="B6" s="2" t="s">
        <v>96</v>
      </c>
      <c r="C6" s="160">
        <f>'Income Statement'!H15</f>
        <v>-234</v>
      </c>
      <c r="D6" s="160">
        <f>'Income Statement'!I15</f>
        <v>-234</v>
      </c>
      <c r="E6" s="160">
        <f>'Income Statement'!J15</f>
        <v>-234</v>
      </c>
      <c r="F6" s="160">
        <f>'Income Statement'!K15</f>
        <v>-234</v>
      </c>
      <c r="G6" s="2"/>
      <c r="H6" s="47">
        <f>H5*H7</f>
        <v>-212.5</v>
      </c>
      <c r="I6" s="47">
        <f t="shared" ref="I6:K6" si="0">I5*I7</f>
        <v>-212.5</v>
      </c>
      <c r="J6" s="47">
        <f t="shared" si="0"/>
        <v>-212.5</v>
      </c>
      <c r="K6" s="47">
        <f t="shared" si="0"/>
        <v>-212.5</v>
      </c>
      <c r="L6" s="2"/>
      <c r="M6" s="2"/>
      <c r="N6" s="2"/>
      <c r="O6" s="2"/>
      <c r="P6" s="2"/>
    </row>
    <row r="7" spans="2:16" x14ac:dyDescent="0.3">
      <c r="B7" s="2" t="s">
        <v>97</v>
      </c>
      <c r="C7" s="45">
        <f>C6/C5</f>
        <v>-0.05</v>
      </c>
      <c r="D7" s="45">
        <f>D6/D5</f>
        <v>-0.05</v>
      </c>
      <c r="E7" s="45">
        <f>E6/E5</f>
        <v>-0.05</v>
      </c>
      <c r="F7" s="45">
        <f>F6/F5</f>
        <v>-0.05</v>
      </c>
      <c r="G7" s="2"/>
      <c r="H7" s="46">
        <f>AVERAGE($C$7:$F$7)</f>
        <v>-0.05</v>
      </c>
      <c r="I7" s="46">
        <f t="shared" ref="I7:K7" si="1">AVERAGE($C$7:$F$7)</f>
        <v>-0.05</v>
      </c>
      <c r="J7" s="46">
        <f t="shared" si="1"/>
        <v>-0.05</v>
      </c>
      <c r="K7" s="46">
        <f t="shared" si="1"/>
        <v>-0.05</v>
      </c>
      <c r="L7" s="2"/>
      <c r="M7" s="2"/>
      <c r="N7" s="2"/>
      <c r="O7" s="2"/>
      <c r="P7" s="2"/>
    </row>
    <row r="8" spans="2:16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sheetProtection algorithmName="SHA-512" hashValue="H9UD0w8niKlqTWZ2tjtgMdO492k2MvNoqIBM6rgHpt5MiPbfx3ET7QBjiXcBnBL9f4mtl0ogXeXtgZslzc4DIQ==" saltValue="mreCJksreU5eDNz1G2FeDQ==" spinCount="100000" sheet="1" objects="1" scenarios="1" selectLockedCells="1" selectUnlockedCells="1"/>
  <mergeCells count="2">
    <mergeCell ref="C3:F3"/>
    <mergeCell ref="H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M18"/>
  <sheetViews>
    <sheetView workbookViewId="0">
      <selection activeCell="E38" sqref="E38"/>
    </sheetView>
  </sheetViews>
  <sheetFormatPr defaultColWidth="9.109375" defaultRowHeight="14.4" x14ac:dyDescent="0.3"/>
  <cols>
    <col min="1" max="1" width="2" style="1" customWidth="1"/>
    <col min="2" max="2" width="22.109375" style="1" bestFit="1" customWidth="1"/>
    <col min="3" max="3" width="7.5546875" style="1" bestFit="1" customWidth="1"/>
    <col min="4" max="7" width="9.109375" style="1"/>
    <col min="8" max="8" width="2" style="1" customWidth="1"/>
    <col min="9" max="9" width="7.5546875" style="1" bestFit="1" customWidth="1"/>
    <col min="10" max="16384" width="9.109375" style="1"/>
  </cols>
  <sheetData>
    <row r="1" spans="2:13" ht="15.6" x14ac:dyDescent="0.3">
      <c r="B1" s="3" t="s">
        <v>95</v>
      </c>
    </row>
    <row r="2" spans="2:13" ht="15.6" x14ac:dyDescent="0.3">
      <c r="B2" s="3"/>
    </row>
    <row r="3" spans="2:13" x14ac:dyDescent="0.3">
      <c r="C3" s="74" t="s">
        <v>85</v>
      </c>
      <c r="D3" s="74"/>
      <c r="E3" s="74"/>
      <c r="F3" s="74"/>
      <c r="G3" s="74"/>
      <c r="H3" s="40"/>
      <c r="I3" s="74" t="s">
        <v>47</v>
      </c>
      <c r="J3" s="74"/>
      <c r="K3" s="74"/>
      <c r="L3" s="74"/>
      <c r="M3" s="74"/>
    </row>
    <row r="4" spans="2:13" ht="15" thickBot="1" x14ac:dyDescent="0.35">
      <c r="B4" s="33" t="s">
        <v>72</v>
      </c>
      <c r="C4" s="41" t="s">
        <v>14</v>
      </c>
      <c r="D4" s="41" t="s">
        <v>15</v>
      </c>
      <c r="E4" s="41" t="s">
        <v>16</v>
      </c>
      <c r="F4" s="41" t="s">
        <v>17</v>
      </c>
      <c r="G4" s="41" t="s">
        <v>119</v>
      </c>
      <c r="H4" s="40"/>
      <c r="I4" s="41" t="s">
        <v>14</v>
      </c>
      <c r="J4" s="41" t="s">
        <v>15</v>
      </c>
      <c r="K4" s="41" t="s">
        <v>16</v>
      </c>
      <c r="L4" s="41" t="s">
        <v>17</v>
      </c>
      <c r="M4" s="41" t="s">
        <v>129</v>
      </c>
    </row>
    <row r="5" spans="2:13" x14ac:dyDescent="0.3">
      <c r="B5" s="2" t="s">
        <v>2</v>
      </c>
      <c r="C5" s="159">
        <f>'Income Statement'!H5</f>
        <v>16413</v>
      </c>
      <c r="D5" s="159">
        <f>'Income Statement'!I5</f>
        <v>18926</v>
      </c>
      <c r="E5" s="159">
        <f>'Income Statement'!J5</f>
        <v>16498</v>
      </c>
      <c r="F5" s="159">
        <f>'Income Statement'!K5</f>
        <v>21432</v>
      </c>
      <c r="G5" s="159">
        <f>'Income Statement'!L5</f>
        <v>73269</v>
      </c>
      <c r="H5" s="165"/>
      <c r="I5" s="159">
        <f>'Revenue Budget'!C21</f>
        <v>19677.959999999995</v>
      </c>
      <c r="J5" s="159">
        <f>'Revenue Budget'!D21</f>
        <v>22734.699999999997</v>
      </c>
      <c r="K5" s="159">
        <f>'Revenue Budget'!E21</f>
        <v>19727.089999999997</v>
      </c>
      <c r="L5" s="159">
        <f>'Revenue Budget'!F21</f>
        <v>25819.79</v>
      </c>
      <c r="M5" s="159">
        <f>'Revenue Budget'!G21</f>
        <v>87959.539999999979</v>
      </c>
    </row>
    <row r="6" spans="2:13" x14ac:dyDescent="0.3">
      <c r="B6" s="2" t="s">
        <v>0</v>
      </c>
      <c r="C6" s="159">
        <f>'Income Statement'!H6</f>
        <v>6177</v>
      </c>
      <c r="D6" s="159">
        <f>'Income Statement'!I6</f>
        <v>7460</v>
      </c>
      <c r="E6" s="159">
        <f>'Income Statement'!J6</f>
        <v>5803</v>
      </c>
      <c r="F6" s="159">
        <f>'Income Statement'!K6</f>
        <v>9023</v>
      </c>
      <c r="G6" s="159">
        <f>'Income Statement'!L6</f>
        <v>28463</v>
      </c>
      <c r="H6" s="165"/>
      <c r="I6" s="159">
        <f>'Revenue Budget'!C22</f>
        <v>6300.54</v>
      </c>
      <c r="J6" s="159">
        <f>'Revenue Budget'!D22</f>
        <v>7609.2</v>
      </c>
      <c r="K6" s="159">
        <f>'Revenue Budget'!E22</f>
        <v>5919.06</v>
      </c>
      <c r="L6" s="159">
        <f>'Revenue Budget'!F22</f>
        <v>9203.4600000000009</v>
      </c>
      <c r="M6" s="159">
        <f>'Revenue Budget'!G22</f>
        <v>29032.260000000002</v>
      </c>
    </row>
    <row r="7" spans="2:13" x14ac:dyDescent="0.3">
      <c r="B7" s="34" t="s">
        <v>1</v>
      </c>
      <c r="C7" s="37">
        <f>'Income Statement'!H7</f>
        <v>22590</v>
      </c>
      <c r="D7" s="37">
        <f>'Income Statement'!I7</f>
        <v>26386</v>
      </c>
      <c r="E7" s="37">
        <f>'Income Statement'!J7</f>
        <v>22301</v>
      </c>
      <c r="F7" s="37">
        <f>'Income Statement'!K7</f>
        <v>30455</v>
      </c>
      <c r="G7" s="37">
        <f>'Income Statement'!L7</f>
        <v>101732</v>
      </c>
      <c r="I7" s="37">
        <f>I5+I6</f>
        <v>25978.499999999996</v>
      </c>
      <c r="J7" s="37">
        <f t="shared" ref="J7:M7" si="0">J5+J6</f>
        <v>30343.899999999998</v>
      </c>
      <c r="K7" s="37">
        <f t="shared" si="0"/>
        <v>25646.149999999998</v>
      </c>
      <c r="L7" s="37">
        <f t="shared" si="0"/>
        <v>35023.25</v>
      </c>
      <c r="M7" s="37">
        <f t="shared" si="0"/>
        <v>116991.79999999999</v>
      </c>
    </row>
    <row r="8" spans="2:13" x14ac:dyDescent="0.3">
      <c r="B8" s="2" t="s">
        <v>3</v>
      </c>
      <c r="C8" s="84">
        <f>'Income Statement'!H8</f>
        <v>-8816</v>
      </c>
      <c r="D8" s="84">
        <f>'Income Statement'!I8</f>
        <v>-10273</v>
      </c>
      <c r="E8" s="84">
        <f>'Income Statement'!J8</f>
        <v>-9390</v>
      </c>
      <c r="F8" s="84">
        <f>'Income Statement'!K8</f>
        <v>-12034</v>
      </c>
      <c r="G8" s="84">
        <f>'Income Statement'!L8</f>
        <v>-40513</v>
      </c>
      <c r="H8" s="162"/>
      <c r="I8" s="84">
        <f>'Cost of Sales - Ad Campaigns'!I13</f>
        <v>-9457.1711130619697</v>
      </c>
      <c r="J8" s="84">
        <f>'Cost of Sales - Ad Campaigns'!J13</f>
        <v>-10818.4674505929</v>
      </c>
      <c r="K8" s="84">
        <f>'Cost of Sales - Ad Campaigns'!K13</f>
        <v>-10104.046304178368</v>
      </c>
      <c r="L8" s="84">
        <f>'Cost of Sales - Ad Campaigns'!L13</f>
        <v>-12015.041616065992</v>
      </c>
      <c r="M8" s="84">
        <f>'Cost of Sales - Ad Campaigns'!M13</f>
        <v>-42394.726483899227</v>
      </c>
    </row>
    <row r="9" spans="2:13" x14ac:dyDescent="0.3">
      <c r="B9" s="2" t="s">
        <v>4</v>
      </c>
      <c r="C9" s="84">
        <f>'Income Statement'!H9</f>
        <v>-3777</v>
      </c>
      <c r="D9" s="84">
        <f>'Income Statement'!I9</f>
        <v>-4544</v>
      </c>
      <c r="E9" s="84">
        <f>'Income Statement'!J9</f>
        <v>-4263</v>
      </c>
      <c r="F9" s="84">
        <f>'Income Statement'!K9</f>
        <v>-6034</v>
      </c>
      <c r="G9" s="84">
        <f>'Income Statement'!L9</f>
        <v>-18618</v>
      </c>
      <c r="H9" s="162"/>
      <c r="I9" s="84">
        <f>'Cost of Sales - SEO Campaigns'!I13</f>
        <v>-4554.2046584188001</v>
      </c>
      <c r="J9" s="84">
        <f>'Cost of Sales - SEO Campaigns'!J13</f>
        <v>-5261.9634992535011</v>
      </c>
      <c r="K9" s="84">
        <f>'Cost of Sales - SEO Campaigns'!K13</f>
        <v>-4602.9552955166255</v>
      </c>
      <c r="L9" s="84">
        <f>'Cost of Sales - SEO Campaigns'!L13</f>
        <v>-6709.5734810543599</v>
      </c>
      <c r="M9" s="84">
        <f>'Cost of Sales - SEO Campaigns'!M13</f>
        <v>-21128.696934243286</v>
      </c>
    </row>
    <row r="10" spans="2:13" x14ac:dyDescent="0.3">
      <c r="B10" s="34" t="s">
        <v>5</v>
      </c>
      <c r="C10" s="37">
        <f>C8+C9+C7</f>
        <v>9997</v>
      </c>
      <c r="D10" s="37">
        <f t="shared" ref="D10:G10" si="1">D8+D9+D7</f>
        <v>11569</v>
      </c>
      <c r="E10" s="37">
        <f t="shared" si="1"/>
        <v>8648</v>
      </c>
      <c r="F10" s="37">
        <f t="shared" si="1"/>
        <v>12387</v>
      </c>
      <c r="G10" s="37">
        <f t="shared" si="1"/>
        <v>42601</v>
      </c>
      <c r="I10" s="37">
        <f>I8+I9+I7</f>
        <v>11967.124228519227</v>
      </c>
      <c r="J10" s="37">
        <f t="shared" ref="J10:M10" si="2">J8+J9+J7</f>
        <v>14263.469050153597</v>
      </c>
      <c r="K10" s="37">
        <f t="shared" si="2"/>
        <v>10939.148400305005</v>
      </c>
      <c r="L10" s="37">
        <f t="shared" si="2"/>
        <v>16298.634902879647</v>
      </c>
      <c r="M10" s="37">
        <f t="shared" si="2"/>
        <v>53468.376581857476</v>
      </c>
    </row>
    <row r="11" spans="2:13" x14ac:dyDescent="0.3">
      <c r="B11" s="2" t="s">
        <v>6</v>
      </c>
      <c r="C11" s="84">
        <f>'Income Statement'!H11</f>
        <v>-5696</v>
      </c>
      <c r="D11" s="84">
        <f>'Income Statement'!I11</f>
        <v>-5498</v>
      </c>
      <c r="E11" s="84">
        <f>'Income Statement'!J11</f>
        <v>-5640</v>
      </c>
      <c r="F11" s="84">
        <f>'Income Statement'!K11</f>
        <v>-6231</v>
      </c>
      <c r="G11" s="84">
        <f>'Income Statement'!L11</f>
        <v>-23065</v>
      </c>
      <c r="H11" s="162"/>
      <c r="I11" s="84">
        <f>'SG&amp;A'!I29</f>
        <v>-5826.2549999999992</v>
      </c>
      <c r="J11" s="84">
        <f>'SG&amp;A'!J29</f>
        <v>-6306.4489999999996</v>
      </c>
      <c r="K11" s="84">
        <f>'SG&amp;A'!K29</f>
        <v>-5789.6965</v>
      </c>
      <c r="L11" s="84">
        <f>'SG&amp;A'!L29</f>
        <v>-6821.1774999999998</v>
      </c>
      <c r="M11" s="84">
        <f>'SG&amp;A'!M29</f>
        <v>-24743.578000000001</v>
      </c>
    </row>
    <row r="12" spans="2:13" x14ac:dyDescent="0.3">
      <c r="B12" s="34" t="s">
        <v>7</v>
      </c>
      <c r="C12" s="37">
        <f>C10+C11</f>
        <v>4301</v>
      </c>
      <c r="D12" s="37">
        <f t="shared" ref="D12:G12" si="3">D10+D11</f>
        <v>6071</v>
      </c>
      <c r="E12" s="37">
        <f t="shared" si="3"/>
        <v>3008</v>
      </c>
      <c r="F12" s="37">
        <f t="shared" si="3"/>
        <v>6156</v>
      </c>
      <c r="G12" s="37">
        <f t="shared" si="3"/>
        <v>19536</v>
      </c>
      <c r="I12" s="37">
        <f>I10+I11</f>
        <v>6140.8692285192283</v>
      </c>
      <c r="J12" s="37">
        <f t="shared" ref="J12:M12" si="4">J10+J11</f>
        <v>7957.0200501535974</v>
      </c>
      <c r="K12" s="37">
        <f t="shared" si="4"/>
        <v>5149.4519003050045</v>
      </c>
      <c r="L12" s="37">
        <f t="shared" si="4"/>
        <v>9477.4574028796469</v>
      </c>
      <c r="M12" s="37">
        <f t="shared" si="4"/>
        <v>28724.798581857474</v>
      </c>
    </row>
    <row r="13" spans="2:13" x14ac:dyDescent="0.3">
      <c r="B13" s="2" t="s">
        <v>8</v>
      </c>
      <c r="C13" s="84">
        <f>'Income Statement'!H13</f>
        <v>-85</v>
      </c>
      <c r="D13" s="84">
        <f>'Income Statement'!I13</f>
        <v>-85</v>
      </c>
      <c r="E13" s="84">
        <f>'Income Statement'!J13</f>
        <v>-85</v>
      </c>
      <c r="F13" s="84">
        <f>'Income Statement'!K13</f>
        <v>-85</v>
      </c>
      <c r="G13" s="84">
        <f>'Income Statement'!L13</f>
        <v>-340</v>
      </c>
      <c r="H13" s="162"/>
      <c r="I13" s="84">
        <f>'Fixed Assets'!H6</f>
        <v>-80.814627081824767</v>
      </c>
      <c r="J13" s="84">
        <f>'Fixed Assets'!I6</f>
        <v>-82.610228410315301</v>
      </c>
      <c r="K13" s="84">
        <f>'Fixed Assets'!J6</f>
        <v>-86.09549772201828</v>
      </c>
      <c r="L13" s="84">
        <f>'Fixed Assets'!K6</f>
        <v>-84.585814777385465</v>
      </c>
      <c r="M13" s="84">
        <f>SUM(I13:L13)</f>
        <v>-334.10616799154383</v>
      </c>
    </row>
    <row r="14" spans="2:13" x14ac:dyDescent="0.3">
      <c r="B14" s="34" t="s">
        <v>9</v>
      </c>
      <c r="C14" s="37">
        <f>C12+C13</f>
        <v>4216</v>
      </c>
      <c r="D14" s="37">
        <f t="shared" ref="D14:G14" si="5">D12+D13</f>
        <v>5986</v>
      </c>
      <c r="E14" s="37">
        <f t="shared" si="5"/>
        <v>2923</v>
      </c>
      <c r="F14" s="37">
        <f t="shared" si="5"/>
        <v>6071</v>
      </c>
      <c r="G14" s="37">
        <f t="shared" si="5"/>
        <v>19196</v>
      </c>
      <c r="I14" s="37">
        <f>I12+I13</f>
        <v>6060.0546014374031</v>
      </c>
      <c r="J14" s="37">
        <f t="shared" ref="J14:M14" si="6">J12+J13</f>
        <v>7874.409821743282</v>
      </c>
      <c r="K14" s="37">
        <f t="shared" si="6"/>
        <v>5063.3564025829864</v>
      </c>
      <c r="L14" s="37">
        <f t="shared" si="6"/>
        <v>9392.8715881022617</v>
      </c>
      <c r="M14" s="37">
        <f t="shared" si="6"/>
        <v>28390.692413865931</v>
      </c>
    </row>
    <row r="15" spans="2:13" x14ac:dyDescent="0.3">
      <c r="B15" s="2" t="s">
        <v>132</v>
      </c>
      <c r="C15" s="84">
        <f>'Income Statement'!H15</f>
        <v>-234</v>
      </c>
      <c r="D15" s="84">
        <f>'Income Statement'!I15</f>
        <v>-234</v>
      </c>
      <c r="E15" s="84">
        <f>'Income Statement'!J15</f>
        <v>-234</v>
      </c>
      <c r="F15" s="84">
        <f>'Income Statement'!K15</f>
        <v>-234</v>
      </c>
      <c r="G15" s="84">
        <f>'Income Statement'!L15</f>
        <v>-936</v>
      </c>
      <c r="H15" s="162"/>
      <c r="I15" s="84">
        <f>'Financial Liabilities'!H6</f>
        <v>-212.5</v>
      </c>
      <c r="J15" s="84">
        <f>'Financial Liabilities'!I6</f>
        <v>-212.5</v>
      </c>
      <c r="K15" s="84">
        <f>'Financial Liabilities'!J6</f>
        <v>-212.5</v>
      </c>
      <c r="L15" s="84">
        <f>'Financial Liabilities'!K6</f>
        <v>-212.5</v>
      </c>
      <c r="M15" s="84">
        <f>SUM(I15:L15)</f>
        <v>-850</v>
      </c>
    </row>
    <row r="16" spans="2:13" x14ac:dyDescent="0.3">
      <c r="B16" s="34" t="s">
        <v>11</v>
      </c>
      <c r="C16" s="37">
        <f>C14+C15</f>
        <v>3982</v>
      </c>
      <c r="D16" s="37">
        <f t="shared" ref="D16:G16" si="7">D14+D15</f>
        <v>5752</v>
      </c>
      <c r="E16" s="37">
        <f t="shared" si="7"/>
        <v>2689</v>
      </c>
      <c r="F16" s="37">
        <f t="shared" si="7"/>
        <v>5837</v>
      </c>
      <c r="G16" s="37">
        <f t="shared" si="7"/>
        <v>18260</v>
      </c>
      <c r="I16" s="37">
        <f>I14+I15</f>
        <v>5847.5546014374031</v>
      </c>
      <c r="J16" s="37">
        <f t="shared" ref="J16" si="8">J14+J15</f>
        <v>7661.909821743282</v>
      </c>
      <c r="K16" s="37">
        <f t="shared" ref="K16" si="9">K14+K15</f>
        <v>4850.8564025829864</v>
      </c>
      <c r="L16" s="37">
        <f t="shared" ref="L16" si="10">L14+L15</f>
        <v>9180.3715881022617</v>
      </c>
      <c r="M16" s="37">
        <f t="shared" ref="M16" si="11">M14+M15</f>
        <v>27540.692413865931</v>
      </c>
    </row>
    <row r="17" spans="2:13" x14ac:dyDescent="0.3">
      <c r="B17" s="2" t="s">
        <v>12</v>
      </c>
      <c r="C17" s="84">
        <f>'Income Statement'!H17</f>
        <v>-398.20000000000005</v>
      </c>
      <c r="D17" s="84">
        <f>'Income Statement'!I17</f>
        <v>-575.20000000000005</v>
      </c>
      <c r="E17" s="84">
        <f>'Income Statement'!J17</f>
        <v>-268.90000000000003</v>
      </c>
      <c r="F17" s="84">
        <f>'Income Statement'!K17</f>
        <v>-583.70000000000005</v>
      </c>
      <c r="G17" s="84">
        <f>'Income Statement'!L17</f>
        <v>-1826.0000000000002</v>
      </c>
      <c r="H17" s="162"/>
      <c r="I17" s="84">
        <f>-10%*I16</f>
        <v>-584.75546014374038</v>
      </c>
      <c r="J17" s="84">
        <f>-10%*J16</f>
        <v>-766.19098217432827</v>
      </c>
      <c r="K17" s="84">
        <f>-10%*K16</f>
        <v>-485.08564025829867</v>
      </c>
      <c r="L17" s="84">
        <f>-10%*L16</f>
        <v>-918.03715881022617</v>
      </c>
      <c r="M17" s="84">
        <f>-10%*M16</f>
        <v>-2754.0692413865931</v>
      </c>
    </row>
    <row r="18" spans="2:13" s="83" customFormat="1" ht="15" thickBot="1" x14ac:dyDescent="0.35">
      <c r="B18" s="78" t="s">
        <v>13</v>
      </c>
      <c r="C18" s="79">
        <f>C16+C17</f>
        <v>3583.8</v>
      </c>
      <c r="D18" s="79">
        <f t="shared" ref="D18:G18" si="12">D16+D17</f>
        <v>5176.8</v>
      </c>
      <c r="E18" s="79">
        <f t="shared" si="12"/>
        <v>2420.1</v>
      </c>
      <c r="F18" s="79">
        <f t="shared" si="12"/>
        <v>5253.3</v>
      </c>
      <c r="G18" s="79">
        <f t="shared" si="12"/>
        <v>16434</v>
      </c>
      <c r="H18" s="157"/>
      <c r="I18" s="79">
        <f>I16+I17</f>
        <v>5262.7991412936626</v>
      </c>
      <c r="J18" s="79">
        <f t="shared" ref="J18" si="13">J16+J17</f>
        <v>6895.7188395689536</v>
      </c>
      <c r="K18" s="79">
        <f t="shared" ref="K18" si="14">K16+K17</f>
        <v>4365.7707623246879</v>
      </c>
      <c r="L18" s="79">
        <f t="shared" ref="L18" si="15">L16+L17</f>
        <v>8262.3344292920356</v>
      </c>
      <c r="M18" s="79">
        <f t="shared" ref="M18" si="16">M16+M17</f>
        <v>24786.623172479336</v>
      </c>
    </row>
  </sheetData>
  <sheetProtection algorithmName="SHA-512" hashValue="t1hsyiYsKZtOzDxpBgTFna4YHkzFjoqK1F9Qj5ULu+4f7uQB8XeBhDipkeIT4RB86OgI/TTecLMHpj0H8158/g==" saltValue="VDTvdZmpBMv0beIvTG+Uzg==" spinCount="100000" sheet="1" objects="1" scenarios="1" selectLockedCells="1" selectUnlockedCells="1"/>
  <mergeCells count="2">
    <mergeCell ref="C3:G3"/>
    <mergeCell ref="I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B1:L25"/>
  <sheetViews>
    <sheetView workbookViewId="0">
      <selection activeCell="E38" sqref="E38"/>
    </sheetView>
  </sheetViews>
  <sheetFormatPr defaultColWidth="9.109375" defaultRowHeight="14.4" x14ac:dyDescent="0.3"/>
  <cols>
    <col min="1" max="1" width="2" style="1" customWidth="1"/>
    <col min="2" max="2" width="21.5546875" style="1" customWidth="1"/>
    <col min="3" max="6" width="9.109375" style="1"/>
    <col min="7" max="7" width="2" style="1" customWidth="1"/>
    <col min="8" max="16384" width="9.109375" style="1"/>
  </cols>
  <sheetData>
    <row r="1" spans="2:12" ht="15.6" x14ac:dyDescent="0.3">
      <c r="B1" s="3" t="s">
        <v>19</v>
      </c>
    </row>
    <row r="3" spans="2:12" x14ac:dyDescent="0.3">
      <c r="C3" s="74" t="s">
        <v>85</v>
      </c>
      <c r="D3" s="74"/>
      <c r="E3" s="74"/>
      <c r="F3" s="74"/>
      <c r="G3" s="61"/>
      <c r="H3" s="74" t="s">
        <v>47</v>
      </c>
      <c r="I3" s="74"/>
      <c r="J3" s="74"/>
      <c r="K3" s="74"/>
      <c r="L3" s="50" t="s">
        <v>98</v>
      </c>
    </row>
    <row r="4" spans="2:12" ht="25.2" thickBot="1" x14ac:dyDescent="0.35">
      <c r="B4" s="33" t="s">
        <v>18</v>
      </c>
      <c r="C4" s="42" t="s">
        <v>115</v>
      </c>
      <c r="D4" s="42" t="s">
        <v>116</v>
      </c>
      <c r="E4" s="42" t="s">
        <v>117</v>
      </c>
      <c r="F4" s="42" t="s">
        <v>118</v>
      </c>
      <c r="G4" s="2"/>
      <c r="H4" s="42" t="s">
        <v>125</v>
      </c>
      <c r="I4" s="42" t="s">
        <v>126</v>
      </c>
      <c r="J4" s="42" t="s">
        <v>127</v>
      </c>
      <c r="K4" s="42" t="s">
        <v>128</v>
      </c>
    </row>
    <row r="5" spans="2:12" x14ac:dyDescent="0.3">
      <c r="B5" s="2" t="s">
        <v>20</v>
      </c>
      <c r="C5" s="169">
        <f>'Balance Sheet'!G6</f>
        <v>492.39</v>
      </c>
      <c r="D5" s="169">
        <f>'Balance Sheet'!H6</f>
        <v>567.78</v>
      </c>
      <c r="E5" s="169">
        <f>'Balance Sheet'!I6</f>
        <v>494.94</v>
      </c>
      <c r="F5" s="169">
        <f>'Balance Sheet'!J6</f>
        <v>642.95999999999992</v>
      </c>
      <c r="G5" s="55"/>
      <c r="H5" s="55">
        <f>F5+CF!I19</f>
        <v>6224.5010887979033</v>
      </c>
      <c r="I5" s="55">
        <f>H5+CF!J19</f>
        <v>10763.794086507718</v>
      </c>
      <c r="J5" s="55">
        <f>I5+CF!K19</f>
        <v>18459.739014015482</v>
      </c>
      <c r="K5" s="55">
        <f>J5+CF!L19</f>
        <v>21260.266707234463</v>
      </c>
    </row>
    <row r="6" spans="2:12" x14ac:dyDescent="0.3">
      <c r="B6" s="2" t="s">
        <v>21</v>
      </c>
      <c r="C6" s="169">
        <f>'Balance Sheet'!G7</f>
        <v>25144</v>
      </c>
      <c r="D6" s="169">
        <f>'Balance Sheet'!H7</f>
        <v>25014</v>
      </c>
      <c r="E6" s="169">
        <f>'Balance Sheet'!I7</f>
        <v>22868</v>
      </c>
      <c r="F6" s="169">
        <f>'Balance Sheet'!J7</f>
        <v>24231</v>
      </c>
      <c r="G6" s="55"/>
      <c r="H6" s="169">
        <f>'Working Capital'!H8</f>
        <v>25212.909540468128</v>
      </c>
      <c r="I6" s="169">
        <f>'Working Capital'!I8</f>
        <v>29449.660519468442</v>
      </c>
      <c r="J6" s="169">
        <f>'Working Capital'!J8</f>
        <v>24890.353946966792</v>
      </c>
      <c r="K6" s="169">
        <f>'Working Capital'!K8</f>
        <v>33991.109342848911</v>
      </c>
    </row>
    <row r="7" spans="2:12" x14ac:dyDescent="0.3">
      <c r="B7" s="2" t="s">
        <v>22</v>
      </c>
      <c r="C7" s="169">
        <f>'Balance Sheet'!G8</f>
        <v>0</v>
      </c>
      <c r="D7" s="169">
        <f>'Balance Sheet'!H8</f>
        <v>0</v>
      </c>
      <c r="E7" s="169">
        <f>'Balance Sheet'!I8</f>
        <v>0</v>
      </c>
      <c r="F7" s="169">
        <f>'Balance Sheet'!J8</f>
        <v>0</v>
      </c>
      <c r="G7" s="55"/>
      <c r="H7" s="169">
        <f>'Working Capital'!H14</f>
        <v>0</v>
      </c>
      <c r="I7" s="169">
        <f>'Working Capital'!I14</f>
        <v>0</v>
      </c>
      <c r="J7" s="169">
        <f>'Working Capital'!J14</f>
        <v>0</v>
      </c>
      <c r="K7" s="169">
        <f>'Working Capital'!K14</f>
        <v>0</v>
      </c>
    </row>
    <row r="8" spans="2:12" ht="3.75" customHeight="1" x14ac:dyDescent="0.3">
      <c r="B8" s="2"/>
      <c r="C8" s="169">
        <f>'Balance Sheet'!G9</f>
        <v>0</v>
      </c>
      <c r="D8" s="169">
        <f>'Balance Sheet'!H9</f>
        <v>0</v>
      </c>
      <c r="E8" s="169">
        <f>'Balance Sheet'!I9</f>
        <v>0</v>
      </c>
      <c r="F8" s="169">
        <f>'Balance Sheet'!J9</f>
        <v>0</v>
      </c>
      <c r="G8" s="55"/>
      <c r="H8" s="55"/>
      <c r="I8" s="55"/>
      <c r="J8" s="55"/>
      <c r="K8" s="55"/>
    </row>
    <row r="9" spans="2:12" x14ac:dyDescent="0.3">
      <c r="B9" s="2" t="s">
        <v>23</v>
      </c>
      <c r="C9" s="169">
        <f>'Balance Sheet'!G10</f>
        <v>1339</v>
      </c>
      <c r="D9" s="169">
        <f>'Balance Sheet'!H10</f>
        <v>1283</v>
      </c>
      <c r="E9" s="169">
        <f>'Balance Sheet'!I10</f>
        <v>1288</v>
      </c>
      <c r="F9" s="169">
        <f>'Balance Sheet'!J10</f>
        <v>1313</v>
      </c>
      <c r="G9" s="55"/>
      <c r="H9" s="169">
        <f>'Fixed Assets'!H9</f>
        <v>1301.3540687224965</v>
      </c>
      <c r="I9" s="169">
        <f>'Fixed Assets'!I9</f>
        <v>1299.535571498229</v>
      </c>
      <c r="J9" s="169">
        <f>'Fixed Assets'!J9</f>
        <v>1281.7238756855586</v>
      </c>
      <c r="K9" s="169">
        <f>'Fixed Assets'!K9</f>
        <v>1290.3887307054554</v>
      </c>
    </row>
    <row r="10" spans="2:12" x14ac:dyDescent="0.3">
      <c r="B10" s="2" t="s">
        <v>25</v>
      </c>
      <c r="C10" s="169">
        <f>'Balance Sheet'!G11</f>
        <v>8445.4400000000023</v>
      </c>
      <c r="D10" s="169">
        <f>'Balance Sheet'!H11</f>
        <v>11169.880000000005</v>
      </c>
      <c r="E10" s="169">
        <f>'Balance Sheet'!I11</f>
        <v>14713.239999999998</v>
      </c>
      <c r="F10" s="169">
        <f>'Balance Sheet'!J11</f>
        <v>12545.160000000003</v>
      </c>
      <c r="G10" s="55"/>
      <c r="H10" s="55">
        <f>$F$10</f>
        <v>12545.160000000003</v>
      </c>
      <c r="I10" s="55">
        <f t="shared" ref="I10:K10" si="0">$F$10</f>
        <v>12545.160000000003</v>
      </c>
      <c r="J10" s="55">
        <f t="shared" si="0"/>
        <v>12545.160000000003</v>
      </c>
      <c r="K10" s="55">
        <f t="shared" si="0"/>
        <v>12545.160000000003</v>
      </c>
    </row>
    <row r="11" spans="2:12" ht="3.75" customHeight="1" x14ac:dyDescent="0.3">
      <c r="B11" s="2"/>
      <c r="C11" s="55"/>
      <c r="D11" s="55"/>
      <c r="E11" s="55"/>
      <c r="F11" s="55"/>
      <c r="G11" s="55"/>
      <c r="H11" s="55"/>
      <c r="I11" s="55"/>
      <c r="J11" s="55"/>
      <c r="K11" s="55"/>
    </row>
    <row r="12" spans="2:12" s="83" customFormat="1" ht="15" thickBot="1" x14ac:dyDescent="0.35">
      <c r="B12" s="78" t="s">
        <v>29</v>
      </c>
      <c r="C12" s="79">
        <f>SUM(C5:C10)</f>
        <v>35420.83</v>
      </c>
      <c r="D12" s="79">
        <f t="shared" ref="D12:F12" si="1">SUM(D5:D10)</f>
        <v>38034.660000000003</v>
      </c>
      <c r="E12" s="79">
        <f t="shared" si="1"/>
        <v>39364.179999999993</v>
      </c>
      <c r="F12" s="79">
        <f t="shared" si="1"/>
        <v>38732.120000000003</v>
      </c>
      <c r="G12" s="157"/>
      <c r="H12" s="79">
        <f>SUM(H5:H10)</f>
        <v>45283.924697988536</v>
      </c>
      <c r="I12" s="79">
        <f t="shared" ref="I12:K12" si="2">SUM(I5:I10)</f>
        <v>54058.150177474396</v>
      </c>
      <c r="J12" s="79">
        <f t="shared" si="2"/>
        <v>57176.97683666784</v>
      </c>
      <c r="K12" s="79">
        <f t="shared" si="2"/>
        <v>69086.924780788831</v>
      </c>
    </row>
    <row r="13" spans="2:12" ht="3.75" customHeight="1" x14ac:dyDescent="0.3">
      <c r="B13" s="2"/>
      <c r="C13" s="56"/>
      <c r="D13" s="56"/>
      <c r="E13" s="56"/>
      <c r="F13" s="56"/>
      <c r="G13" s="56"/>
      <c r="H13" s="56"/>
      <c r="I13" s="56"/>
      <c r="J13" s="56"/>
      <c r="K13" s="56"/>
    </row>
    <row r="14" spans="2:12" x14ac:dyDescent="0.3">
      <c r="B14" s="70" t="s">
        <v>155</v>
      </c>
      <c r="C14" s="169"/>
      <c r="D14" s="169"/>
      <c r="E14" s="169"/>
      <c r="F14" s="169"/>
      <c r="G14" s="55"/>
      <c r="H14" s="169"/>
      <c r="I14" s="169"/>
      <c r="J14" s="169"/>
      <c r="K14" s="169"/>
    </row>
    <row r="15" spans="2:12" x14ac:dyDescent="0.3">
      <c r="B15" s="170" t="s">
        <v>24</v>
      </c>
      <c r="C15" s="169">
        <f>'Balance Sheet'!G15</f>
        <v>14938</v>
      </c>
      <c r="D15" s="169">
        <f>'Balance Sheet'!H15</f>
        <v>11806</v>
      </c>
      <c r="E15" s="169">
        <f>'Balance Sheet'!I15</f>
        <v>14195</v>
      </c>
      <c r="F15" s="169">
        <f>'Balance Sheet'!J15</f>
        <v>11002</v>
      </c>
      <c r="G15" s="55"/>
      <c r="H15" s="169">
        <f>'Working Capital'!H11</f>
        <v>12721.005556694865</v>
      </c>
      <c r="I15" s="169">
        <f>'Working Capital'!I11</f>
        <v>14599.512196611773</v>
      </c>
      <c r="J15" s="169">
        <f>'Working Capital'!J11</f>
        <v>13352.568093480531</v>
      </c>
      <c r="K15" s="169">
        <f>'Working Capital'!K11</f>
        <v>17000.181608309493</v>
      </c>
    </row>
    <row r="16" spans="2:12" x14ac:dyDescent="0.3">
      <c r="B16" s="170" t="s">
        <v>36</v>
      </c>
      <c r="C16" s="169">
        <f>'Balance Sheet'!G16</f>
        <v>10048</v>
      </c>
      <c r="D16" s="169">
        <f>'Balance Sheet'!H16</f>
        <v>14150</v>
      </c>
      <c r="E16" s="169">
        <f>'Balance Sheet'!I16</f>
        <v>16066</v>
      </c>
      <c r="F16" s="169">
        <f>'Balance Sheet'!J16</f>
        <v>15110</v>
      </c>
      <c r="G16" s="55"/>
      <c r="H16" s="55">
        <f>$F$16</f>
        <v>15110</v>
      </c>
      <c r="I16" s="55">
        <f t="shared" ref="I16:K16" si="3">$F$16</f>
        <v>15110</v>
      </c>
      <c r="J16" s="55">
        <f t="shared" si="3"/>
        <v>15110</v>
      </c>
      <c r="K16" s="55">
        <f t="shared" si="3"/>
        <v>15110</v>
      </c>
    </row>
    <row r="17" spans="2:11" ht="3.75" customHeight="1" x14ac:dyDescent="0.3">
      <c r="B17" s="170"/>
      <c r="C17" s="169">
        <f>'Balance Sheet'!G17</f>
        <v>0</v>
      </c>
      <c r="D17" s="169">
        <f>'Balance Sheet'!H17</f>
        <v>0</v>
      </c>
      <c r="E17" s="169">
        <f>'Balance Sheet'!I17</f>
        <v>0</v>
      </c>
      <c r="F17" s="169">
        <f>'Balance Sheet'!J17</f>
        <v>0</v>
      </c>
      <c r="G17" s="55"/>
      <c r="H17" s="55"/>
      <c r="I17" s="55"/>
      <c r="J17" s="55"/>
      <c r="K17" s="55"/>
    </row>
    <row r="18" spans="2:11" x14ac:dyDescent="0.3">
      <c r="B18" s="170" t="s">
        <v>26</v>
      </c>
      <c r="C18" s="169">
        <f>'Balance Sheet'!G18</f>
        <v>4680</v>
      </c>
      <c r="D18" s="169">
        <f>'Balance Sheet'!H18</f>
        <v>4680</v>
      </c>
      <c r="E18" s="169">
        <f>'Balance Sheet'!I18</f>
        <v>4680</v>
      </c>
      <c r="F18" s="169">
        <f>'Balance Sheet'!J18</f>
        <v>4680</v>
      </c>
      <c r="G18" s="55"/>
      <c r="H18" s="169">
        <f>'Financial Liabilities'!H5</f>
        <v>4250</v>
      </c>
      <c r="I18" s="169">
        <f>'Financial Liabilities'!I5</f>
        <v>4250</v>
      </c>
      <c r="J18" s="169">
        <f>'Financial Liabilities'!J5</f>
        <v>4250</v>
      </c>
      <c r="K18" s="169">
        <f>'Financial Liabilities'!K5</f>
        <v>4250</v>
      </c>
    </row>
    <row r="19" spans="2:11" ht="3.75" customHeight="1" x14ac:dyDescent="0.3">
      <c r="B19" s="2"/>
      <c r="C19" s="169">
        <f>'Balance Sheet'!G19</f>
        <v>0</v>
      </c>
      <c r="D19" s="169">
        <f>'Balance Sheet'!H19</f>
        <v>0</v>
      </c>
      <c r="E19" s="169">
        <f>'Balance Sheet'!I19</f>
        <v>0</v>
      </c>
      <c r="F19" s="169">
        <f>'Balance Sheet'!J19</f>
        <v>0</v>
      </c>
      <c r="G19" s="55"/>
      <c r="H19" s="55"/>
      <c r="I19" s="55"/>
      <c r="J19" s="55"/>
      <c r="K19" s="55"/>
    </row>
    <row r="20" spans="2:11" x14ac:dyDescent="0.3">
      <c r="B20" s="70" t="s">
        <v>156</v>
      </c>
      <c r="C20" s="169"/>
      <c r="D20" s="169"/>
      <c r="E20" s="169"/>
      <c r="F20" s="169"/>
      <c r="G20" s="55"/>
      <c r="H20" s="55"/>
      <c r="I20" s="55"/>
      <c r="J20" s="55"/>
      <c r="K20" s="55"/>
    </row>
    <row r="21" spans="2:11" x14ac:dyDescent="0.3">
      <c r="B21" s="170" t="s">
        <v>27</v>
      </c>
      <c r="C21" s="169">
        <f>'Balance Sheet'!G20</f>
        <v>5754.83</v>
      </c>
      <c r="D21" s="169">
        <f>'Balance Sheet'!H20</f>
        <v>7398.66</v>
      </c>
      <c r="E21" s="169">
        <f>'Balance Sheet'!I20</f>
        <v>4423.18</v>
      </c>
      <c r="F21" s="169">
        <f>'Balance Sheet'!J20</f>
        <v>7940.12</v>
      </c>
      <c r="G21" s="55"/>
      <c r="H21" s="55">
        <f>F21+IS!I18</f>
        <v>13202.919141293663</v>
      </c>
      <c r="I21" s="55">
        <f>H21+IS!J18</f>
        <v>20098.637980862615</v>
      </c>
      <c r="J21" s="55">
        <f>I21+IS!K18</f>
        <v>24464.408743187305</v>
      </c>
      <c r="K21" s="55">
        <f>J21+IS!L18</f>
        <v>32726.743172479342</v>
      </c>
    </row>
    <row r="22" spans="2:11" ht="3.75" customHeight="1" x14ac:dyDescent="0.3">
      <c r="B22" s="2"/>
      <c r="C22" s="56"/>
      <c r="D22" s="56"/>
      <c r="E22" s="56"/>
      <c r="F22" s="56"/>
      <c r="G22" s="56"/>
      <c r="H22" s="56"/>
      <c r="I22" s="56"/>
      <c r="J22" s="56"/>
      <c r="K22" s="56"/>
    </row>
    <row r="23" spans="2:11" s="83" customFormat="1" ht="15" thickBot="1" x14ac:dyDescent="0.35">
      <c r="B23" s="78" t="s">
        <v>28</v>
      </c>
      <c r="C23" s="79">
        <f>SUM(C21,C15:C18)</f>
        <v>35420.83</v>
      </c>
      <c r="D23" s="79">
        <f t="shared" ref="D23:F23" si="4">SUM(D21,D15:D18)</f>
        <v>38034.660000000003</v>
      </c>
      <c r="E23" s="79">
        <f t="shared" si="4"/>
        <v>39364.18</v>
      </c>
      <c r="F23" s="79">
        <f t="shared" si="4"/>
        <v>38732.119999999995</v>
      </c>
      <c r="G23" s="157"/>
      <c r="H23" s="79">
        <f>SUM(H21,H15:H18)</f>
        <v>45283.924697988528</v>
      </c>
      <c r="I23" s="79">
        <f t="shared" ref="I23:K23" si="5">SUM(I21,I15:I18)</f>
        <v>54058.150177474388</v>
      </c>
      <c r="J23" s="79">
        <f t="shared" si="5"/>
        <v>57176.976836667833</v>
      </c>
      <c r="K23" s="79">
        <f t="shared" si="5"/>
        <v>69086.924780788831</v>
      </c>
    </row>
    <row r="25" spans="2:11" x14ac:dyDescent="0.3">
      <c r="B25" s="166" t="s">
        <v>99</v>
      </c>
      <c r="C25" s="167">
        <f>C12-C23</f>
        <v>0</v>
      </c>
      <c r="D25" s="167">
        <f>D12-D23</f>
        <v>0</v>
      </c>
      <c r="E25" s="167">
        <f>E12-E23</f>
        <v>0</v>
      </c>
      <c r="F25" s="167">
        <f>F12-F23</f>
        <v>0</v>
      </c>
      <c r="G25" s="168"/>
      <c r="H25" s="167">
        <f>H12-H23</f>
        <v>0</v>
      </c>
      <c r="I25" s="167">
        <f>I12-I23</f>
        <v>0</v>
      </c>
      <c r="J25" s="167">
        <f>J12-J23</f>
        <v>0</v>
      </c>
      <c r="K25" s="167">
        <f>K12-K23</f>
        <v>0</v>
      </c>
    </row>
  </sheetData>
  <sheetProtection algorithmName="SHA-512" hashValue="HZKsdH2M229JsiiCS7Fl7S+HPAUtduF9tybnNv52o8SN8rfzjfPlTBQPhL4mu0mlfJeMU7MdwavAORye92808g==" saltValue="+qj05x4EkImBBNA9Yb8vJA==" spinCount="100000" sheet="1" objects="1" scenarios="1" selectLockedCells="1" selectUnlockedCells="1"/>
  <mergeCells count="2">
    <mergeCell ref="C3:F3"/>
    <mergeCell ref="H3:K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</sheetPr>
  <dimension ref="B1:M19"/>
  <sheetViews>
    <sheetView tabSelected="1" workbookViewId="0">
      <selection activeCell="E38" sqref="E38"/>
    </sheetView>
  </sheetViews>
  <sheetFormatPr defaultColWidth="9.109375" defaultRowHeight="14.4" x14ac:dyDescent="0.3"/>
  <cols>
    <col min="1" max="1" width="2" style="1" customWidth="1"/>
    <col min="2" max="2" width="48" style="1" bestFit="1" customWidth="1"/>
    <col min="3" max="4" width="8.21875" style="1" customWidth="1"/>
    <col min="5" max="5" width="7.6640625" style="1" customWidth="1"/>
    <col min="6" max="6" width="8.6640625" style="1" customWidth="1"/>
    <col min="7" max="7" width="11" style="1" customWidth="1"/>
    <col min="8" max="8" width="4.88671875" style="1" customWidth="1"/>
    <col min="9" max="16384" width="9.109375" style="1"/>
  </cols>
  <sheetData>
    <row r="1" spans="2:13" ht="15.6" x14ac:dyDescent="0.3">
      <c r="B1" s="3" t="s">
        <v>122</v>
      </c>
      <c r="C1" s="3"/>
      <c r="D1" s="3"/>
      <c r="E1" s="3"/>
      <c r="F1" s="3"/>
      <c r="G1" s="3"/>
      <c r="H1" s="3"/>
    </row>
    <row r="2" spans="2:13" ht="15.6" x14ac:dyDescent="0.3">
      <c r="B2" s="3"/>
      <c r="C2" s="3"/>
      <c r="D2" s="3"/>
      <c r="E2" s="3"/>
      <c r="F2" s="3"/>
      <c r="G2" s="3"/>
      <c r="H2" s="3"/>
    </row>
    <row r="3" spans="2:13" x14ac:dyDescent="0.3">
      <c r="C3" s="74" t="s">
        <v>85</v>
      </c>
      <c r="D3" s="74"/>
      <c r="E3" s="74"/>
      <c r="F3" s="74"/>
      <c r="G3" s="74"/>
      <c r="I3" s="74" t="s">
        <v>47</v>
      </c>
      <c r="J3" s="74"/>
      <c r="K3" s="74"/>
      <c r="L3" s="74"/>
      <c r="M3" s="74"/>
    </row>
    <row r="4" spans="2:13" ht="25.2" thickBot="1" x14ac:dyDescent="0.35">
      <c r="B4" s="33" t="s">
        <v>18</v>
      </c>
      <c r="C4" s="42" t="s">
        <v>115</v>
      </c>
      <c r="D4" s="42" t="s">
        <v>116</v>
      </c>
      <c r="E4" s="42" t="s">
        <v>117</v>
      </c>
      <c r="F4" s="42" t="s">
        <v>118</v>
      </c>
      <c r="G4" s="41" t="s">
        <v>119</v>
      </c>
      <c r="H4" s="41"/>
      <c r="I4" s="42" t="s">
        <v>125</v>
      </c>
      <c r="J4" s="42" t="s">
        <v>126</v>
      </c>
      <c r="K4" s="42" t="s">
        <v>127</v>
      </c>
      <c r="L4" s="42" t="s">
        <v>128</v>
      </c>
      <c r="M4" s="42" t="s">
        <v>129</v>
      </c>
    </row>
    <row r="5" spans="2:13" x14ac:dyDescent="0.3">
      <c r="B5" s="13" t="s">
        <v>7</v>
      </c>
      <c r="C5" s="84">
        <f>'Income Statement'!H12</f>
        <v>4301</v>
      </c>
      <c r="D5" s="84">
        <f>'Income Statement'!I12</f>
        <v>6071</v>
      </c>
      <c r="E5" s="84">
        <f>'Income Statement'!J12</f>
        <v>3008</v>
      </c>
      <c r="F5" s="84">
        <f>'Income Statement'!K12</f>
        <v>6156</v>
      </c>
      <c r="G5" s="63">
        <f>'Income Statement'!L12</f>
        <v>19536</v>
      </c>
      <c r="H5" s="63"/>
      <c r="I5" s="84">
        <f>IS!I12</f>
        <v>6140.8692285192283</v>
      </c>
      <c r="J5" s="84">
        <f>IS!J12</f>
        <v>7957.0200501535974</v>
      </c>
      <c r="K5" s="84">
        <f>IS!K12</f>
        <v>5149.4519003050045</v>
      </c>
      <c r="L5" s="84">
        <f>IS!L12</f>
        <v>9477.4574028796469</v>
      </c>
      <c r="M5" s="84">
        <f>IS!M12</f>
        <v>28724.798581857474</v>
      </c>
    </row>
    <row r="6" spans="2:13" x14ac:dyDescent="0.3">
      <c r="B6" s="2" t="s">
        <v>120</v>
      </c>
      <c r="C6" s="84">
        <f>'Income Statement'!H15</f>
        <v>-234</v>
      </c>
      <c r="D6" s="84">
        <f>'Income Statement'!I15</f>
        <v>-234</v>
      </c>
      <c r="E6" s="84">
        <f>'Income Statement'!J15</f>
        <v>-234</v>
      </c>
      <c r="F6" s="84">
        <f>'Income Statement'!K15</f>
        <v>-234</v>
      </c>
      <c r="G6" s="63">
        <f>'Income Statement'!L15</f>
        <v>-936</v>
      </c>
      <c r="H6" s="63"/>
      <c r="I6" s="84">
        <f>IS!I15</f>
        <v>-212.5</v>
      </c>
      <c r="J6" s="84">
        <f>IS!J15</f>
        <v>-212.5</v>
      </c>
      <c r="K6" s="84">
        <f>IS!K15</f>
        <v>-212.5</v>
      </c>
      <c r="L6" s="84">
        <f>IS!L15</f>
        <v>-212.5</v>
      </c>
      <c r="M6" s="84">
        <f>IS!M15</f>
        <v>-850</v>
      </c>
    </row>
    <row r="7" spans="2:13" x14ac:dyDescent="0.3">
      <c r="B7" s="10" t="s">
        <v>121</v>
      </c>
      <c r="C7" s="84">
        <f>'Income Statement'!H17</f>
        <v>-398.20000000000005</v>
      </c>
      <c r="D7" s="84">
        <f>'Income Statement'!I17</f>
        <v>-575.20000000000005</v>
      </c>
      <c r="E7" s="84">
        <f>'Income Statement'!J17</f>
        <v>-268.90000000000003</v>
      </c>
      <c r="F7" s="84">
        <f>'Income Statement'!K17</f>
        <v>-583.70000000000005</v>
      </c>
      <c r="G7" s="63">
        <f>'Income Statement'!L17</f>
        <v>-1826.0000000000002</v>
      </c>
      <c r="H7" s="63"/>
      <c r="I7" s="84">
        <f>IS!I17</f>
        <v>-584.75546014374038</v>
      </c>
      <c r="J7" s="84">
        <f>IS!J17</f>
        <v>-766.19098217432827</v>
      </c>
      <c r="K7" s="84">
        <f>IS!K17</f>
        <v>-485.08564025829867</v>
      </c>
      <c r="L7" s="84">
        <f>IS!L17</f>
        <v>-918.03715881022617</v>
      </c>
      <c r="M7" s="84">
        <f>IS!M17</f>
        <v>-2754.0692413865931</v>
      </c>
    </row>
    <row r="8" spans="2:13" ht="3.75" customHeight="1" x14ac:dyDescent="0.3">
      <c r="B8" s="10"/>
      <c r="C8" s="84"/>
      <c r="D8" s="84"/>
      <c r="E8" s="84"/>
      <c r="F8" s="84"/>
      <c r="G8" s="63"/>
      <c r="H8" s="63"/>
      <c r="I8" s="84"/>
      <c r="J8" s="84"/>
      <c r="K8" s="84"/>
      <c r="L8" s="84"/>
      <c r="M8" s="84"/>
    </row>
    <row r="9" spans="2:13" x14ac:dyDescent="0.3">
      <c r="B9" s="10" t="s">
        <v>32</v>
      </c>
      <c r="C9" s="85">
        <f>-('Balance Sheet'!G7-'Balance Sheet'!F7)</f>
        <v>-1306</v>
      </c>
      <c r="D9" s="85">
        <f>-('Balance Sheet'!H7-'Balance Sheet'!G7)</f>
        <v>130</v>
      </c>
      <c r="E9" s="85">
        <f>-('Balance Sheet'!I7-'Balance Sheet'!H7)</f>
        <v>2146</v>
      </c>
      <c r="F9" s="85">
        <f>-('Balance Sheet'!J7-'Balance Sheet'!I7)</f>
        <v>-1363</v>
      </c>
      <c r="G9" s="57">
        <f>SUM(C9:F9)</f>
        <v>-393</v>
      </c>
      <c r="H9" s="57"/>
      <c r="I9" s="84">
        <f>-(BS!H6-BS!F6)</f>
        <v>-981.9095404681284</v>
      </c>
      <c r="J9" s="84">
        <f>-(BS!I6-BS!H6)</f>
        <v>-4236.7509790003132</v>
      </c>
      <c r="K9" s="84">
        <f>-(BS!J6-BS!I6)</f>
        <v>4559.3065725016495</v>
      </c>
      <c r="L9" s="84">
        <f>-(BS!K6-BS!J6)</f>
        <v>-9100.755395882119</v>
      </c>
      <c r="M9" s="84">
        <f>SUM(I9:L9)</f>
        <v>-9760.1093428489112</v>
      </c>
    </row>
    <row r="10" spans="2:13" x14ac:dyDescent="0.3">
      <c r="B10" s="10" t="s">
        <v>33</v>
      </c>
      <c r="C10" s="85">
        <f>-('Balance Sheet'!G11-'Balance Sheet'!F11)</f>
        <v>-286.60000000000582</v>
      </c>
      <c r="D10" s="85">
        <f>-('Balance Sheet'!H11-'Balance Sheet'!G11)</f>
        <v>-2724.4400000000023</v>
      </c>
      <c r="E10" s="85">
        <f>-('Balance Sheet'!I11-'Balance Sheet'!H11)</f>
        <v>-3543.3599999999933</v>
      </c>
      <c r="F10" s="85">
        <f>-('Balance Sheet'!J11-'Balance Sheet'!I11)</f>
        <v>2168.0799999999945</v>
      </c>
      <c r="G10" s="57">
        <f>SUM(C10:F10)</f>
        <v>-4386.320000000007</v>
      </c>
      <c r="H10" s="57"/>
      <c r="I10" s="84">
        <f>-(BS!H10-BS!F10)</f>
        <v>0</v>
      </c>
      <c r="J10" s="84">
        <f>-(BS!I10-BS!H10)</f>
        <v>0</v>
      </c>
      <c r="K10" s="84">
        <f>-(BS!J10-BS!I10)</f>
        <v>0</v>
      </c>
      <c r="L10" s="84">
        <f>-(BS!K10-BS!J10)</f>
        <v>0</v>
      </c>
      <c r="M10" s="84">
        <f>SUM(I10:L10)</f>
        <v>0</v>
      </c>
    </row>
    <row r="11" spans="2:13" x14ac:dyDescent="0.3">
      <c r="B11" s="10" t="s">
        <v>35</v>
      </c>
      <c r="C11" s="85">
        <f>-'Fixed Assets'!C8</f>
        <v>-43</v>
      </c>
      <c r="D11" s="85">
        <f>-'Fixed Assets'!D8</f>
        <v>-29</v>
      </c>
      <c r="E11" s="85">
        <f>-'Fixed Assets'!E8</f>
        <v>-90</v>
      </c>
      <c r="F11" s="85">
        <f>-'Fixed Assets'!F8</f>
        <v>-110</v>
      </c>
      <c r="G11" s="57">
        <f>SUM(C11:F11)</f>
        <v>-272</v>
      </c>
      <c r="H11" s="57"/>
      <c r="I11" s="84">
        <f>-'Fixed Assets'!H8</f>
        <v>-69.168695804321274</v>
      </c>
      <c r="J11" s="84">
        <f>-'Fixed Assets'!I8</f>
        <v>-80.791731186047869</v>
      </c>
      <c r="K11" s="84">
        <f>-'Fixed Assets'!J8</f>
        <v>-68.283801909347886</v>
      </c>
      <c r="L11" s="84">
        <f>-'Fixed Assets'!K8</f>
        <v>-93.2506697972822</v>
      </c>
      <c r="M11" s="35">
        <f>SUM(I11:L11)</f>
        <v>-311.49489869699926</v>
      </c>
    </row>
    <row r="12" spans="2:13" ht="3.75" customHeight="1" x14ac:dyDescent="0.3">
      <c r="B12" s="10"/>
      <c r="C12" s="86"/>
      <c r="D12" s="86"/>
      <c r="E12" s="86"/>
      <c r="F12" s="86"/>
      <c r="G12" s="58"/>
      <c r="H12" s="58"/>
      <c r="I12" s="35"/>
      <c r="J12" s="35"/>
      <c r="K12" s="35"/>
      <c r="L12" s="35"/>
      <c r="M12" s="35"/>
    </row>
    <row r="13" spans="2:13" x14ac:dyDescent="0.3">
      <c r="B13" s="10" t="s">
        <v>34</v>
      </c>
      <c r="C13" s="85">
        <f>'Balance Sheet'!G15-'Balance Sheet'!F15</f>
        <v>-5540</v>
      </c>
      <c r="D13" s="85">
        <f>'Balance Sheet'!H15-'Balance Sheet'!G15</f>
        <v>-3132</v>
      </c>
      <c r="E13" s="85">
        <f>'Balance Sheet'!I15-'Balance Sheet'!H15</f>
        <v>2389</v>
      </c>
      <c r="F13" s="85">
        <f>'Balance Sheet'!J15-'Balance Sheet'!I15</f>
        <v>-3193</v>
      </c>
      <c r="G13" s="57">
        <f>SUM(C13:F13)</f>
        <v>-9476</v>
      </c>
      <c r="H13" s="57"/>
      <c r="I13" s="84">
        <f>BS!H15-BS!F15</f>
        <v>1719.0055566948649</v>
      </c>
      <c r="J13" s="84">
        <f>BS!I15-BS!H15</f>
        <v>1878.5066399169082</v>
      </c>
      <c r="K13" s="84">
        <f>BS!J15-BS!I15</f>
        <v>-1246.9441031312417</v>
      </c>
      <c r="L13" s="84">
        <f>BS!K15-BS!J15</f>
        <v>3647.6135148289613</v>
      </c>
      <c r="M13" s="35">
        <f>SUM(I13:L13)</f>
        <v>5998.1816083094927</v>
      </c>
    </row>
    <row r="14" spans="2:13" x14ac:dyDescent="0.3">
      <c r="B14" s="10" t="s">
        <v>37</v>
      </c>
      <c r="C14" s="85">
        <f>'Balance Sheet'!G16-'Balance Sheet'!F16</f>
        <v>3152</v>
      </c>
      <c r="D14" s="85">
        <f>'Balance Sheet'!H16-'Balance Sheet'!G16</f>
        <v>4102</v>
      </c>
      <c r="E14" s="85">
        <f>'Balance Sheet'!I16-'Balance Sheet'!H16</f>
        <v>1916</v>
      </c>
      <c r="F14" s="85">
        <f>'Balance Sheet'!J16-'Balance Sheet'!I16</f>
        <v>-956</v>
      </c>
      <c r="G14" s="57">
        <f>SUM(C14:F14)</f>
        <v>8214</v>
      </c>
      <c r="H14" s="57"/>
      <c r="I14" s="84">
        <f>BS!H16-BS!F16</f>
        <v>0</v>
      </c>
      <c r="J14" s="84">
        <f>BS!I16-BS!H16</f>
        <v>0</v>
      </c>
      <c r="K14" s="84">
        <f>BS!J16-BS!I16</f>
        <v>0</v>
      </c>
      <c r="L14" s="84">
        <f>BS!K16-BS!J16</f>
        <v>0</v>
      </c>
      <c r="M14" s="35">
        <f>SUM(I14:L14)</f>
        <v>0</v>
      </c>
    </row>
    <row r="15" spans="2:13" x14ac:dyDescent="0.3">
      <c r="B15" s="10" t="s">
        <v>38</v>
      </c>
      <c r="C15" s="85">
        <f>'Balance Sheet'!G18-'Balance Sheet'!F18</f>
        <v>1680</v>
      </c>
      <c r="D15" s="85">
        <f>'Balance Sheet'!H18-'Balance Sheet'!G18</f>
        <v>0</v>
      </c>
      <c r="E15" s="85">
        <f>'Balance Sheet'!I18-'Balance Sheet'!H18</f>
        <v>0</v>
      </c>
      <c r="F15" s="85">
        <f>'Balance Sheet'!J18-'Balance Sheet'!I18</f>
        <v>0</v>
      </c>
      <c r="G15" s="57">
        <f>SUM(C15:F15)</f>
        <v>1680</v>
      </c>
      <c r="H15" s="57"/>
      <c r="I15" s="84">
        <f>BS!H18-BS!F18</f>
        <v>-430</v>
      </c>
      <c r="J15" s="84">
        <f>BS!I17-BS!H17</f>
        <v>0</v>
      </c>
      <c r="K15" s="84">
        <f>BS!J17-BS!I17</f>
        <v>0</v>
      </c>
      <c r="L15" s="84">
        <f>BS!K17-BS!J17</f>
        <v>0</v>
      </c>
      <c r="M15" s="35">
        <f>SUM(I15:L15)</f>
        <v>-430</v>
      </c>
    </row>
    <row r="16" spans="2:13" ht="3.75" customHeight="1" x14ac:dyDescent="0.3">
      <c r="B16" s="10"/>
      <c r="C16" s="86"/>
      <c r="D16" s="86"/>
      <c r="E16" s="86"/>
      <c r="F16" s="86"/>
      <c r="G16" s="58"/>
      <c r="H16" s="58"/>
      <c r="I16" s="35"/>
      <c r="J16" s="35"/>
      <c r="K16" s="35"/>
      <c r="L16" s="35"/>
      <c r="M16" s="35"/>
    </row>
    <row r="17" spans="2:13" x14ac:dyDescent="0.3">
      <c r="B17" s="10" t="s">
        <v>130</v>
      </c>
      <c r="C17" s="85">
        <f>'Balance Sheet'!G20-'Balance Sheet'!F20-'Income Statement'!H18</f>
        <v>-1415.3500000000004</v>
      </c>
      <c r="D17" s="85">
        <f>'Balance Sheet'!H20-'Balance Sheet'!G20-'Income Statement'!I18</f>
        <v>-3532.9700000000003</v>
      </c>
      <c r="E17" s="85">
        <f>'Balance Sheet'!I20-'Balance Sheet'!H20-'Income Statement'!J18</f>
        <v>-5395.58</v>
      </c>
      <c r="F17" s="85">
        <f>'Balance Sheet'!J20-'Balance Sheet'!I20-'Income Statement'!K18</f>
        <v>-1736.3600000000006</v>
      </c>
      <c r="G17" s="57">
        <f>SUM(C17:F17)</f>
        <v>-12080.260000000002</v>
      </c>
      <c r="H17" s="57"/>
      <c r="I17" s="84">
        <f>BS!H21-BS!F21-IS!I18</f>
        <v>0</v>
      </c>
      <c r="J17" s="84">
        <f>BS!I21-BS!H21-IS!J18</f>
        <v>0</v>
      </c>
      <c r="K17" s="84">
        <f>BS!J21-BS!I21-IS!K18</f>
        <v>0</v>
      </c>
      <c r="L17" s="84">
        <f>BS!K21-BS!J21-IS!L18</f>
        <v>0</v>
      </c>
      <c r="M17" s="84">
        <f>SUM(I17:L17)</f>
        <v>0</v>
      </c>
    </row>
    <row r="18" spans="2:13" ht="3.75" customHeight="1" x14ac:dyDescent="0.3">
      <c r="B18" s="8"/>
      <c r="C18" s="59"/>
      <c r="D18" s="59"/>
      <c r="E18" s="59"/>
      <c r="F18" s="59"/>
      <c r="G18" s="60"/>
      <c r="H18" s="60"/>
    </row>
    <row r="19" spans="2:13" s="83" customFormat="1" ht="15" thickBot="1" x14ac:dyDescent="0.35">
      <c r="B19" s="78" t="s">
        <v>40</v>
      </c>
      <c r="C19" s="79">
        <f>SUM(C5:C17)</f>
        <v>-90.150000000006003</v>
      </c>
      <c r="D19" s="79">
        <f>SUM(D5:D17)</f>
        <v>75.389999999997599</v>
      </c>
      <c r="E19" s="79">
        <f>SUM(E5:E17)</f>
        <v>-72.83999999999287</v>
      </c>
      <c r="F19" s="79">
        <f>SUM(F5:F17)</f>
        <v>148.01999999999407</v>
      </c>
      <c r="G19" s="80">
        <f>SUM(C19:F19)</f>
        <v>60.419999999992797</v>
      </c>
      <c r="H19" s="80"/>
      <c r="I19" s="79">
        <f>SUM(I5:I17)</f>
        <v>5581.5410887979033</v>
      </c>
      <c r="J19" s="79">
        <f>SUM(J5:J17)</f>
        <v>4539.2929977098156</v>
      </c>
      <c r="K19" s="79">
        <f>SUM(K5:K17)</f>
        <v>7695.9449275077659</v>
      </c>
      <c r="L19" s="79">
        <f>SUM(L5:L17)</f>
        <v>2800.5276932189809</v>
      </c>
      <c r="M19" s="79">
        <f>SUM(M5:M17)</f>
        <v>20617.306707234464</v>
      </c>
    </row>
  </sheetData>
  <sheetProtection algorithmName="SHA-512" hashValue="kwm7S//gswT9TcBWEo8p0Xt1aez3zKxm2zZOPx+Ao4xVCZ0xFznjcUWmAFHNmrkGCoj+O7YeZSOch8aK0MhqvA==" saltValue="529uZHwBkpdLFM8Sh9ey0A==" spinCount="100000" sheet="1" objects="1" scenarios="1" selectLockedCells="1" selectUnlockedCells="1"/>
  <mergeCells count="2">
    <mergeCell ref="I3:M3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Digital Agency Profile</vt:lpstr>
      <vt:lpstr>Annual Report --&gt;</vt:lpstr>
      <vt:lpstr>Income Statement</vt:lpstr>
      <vt:lpstr>Balance Sheet</vt:lpstr>
      <vt:lpstr>Cash Flow Statement</vt:lpstr>
      <vt:lpstr>Budget Templates --&gt;</vt:lpstr>
      <vt:lpstr>Revenue - Bottom-Up</vt:lpstr>
      <vt:lpstr>Revenue - Top-Down</vt:lpstr>
      <vt:lpstr>Revenue Budget</vt:lpstr>
      <vt:lpstr>Master Budget --&gt;</vt:lpstr>
      <vt:lpstr>Cost of Sales - Ad Campaigns</vt:lpstr>
      <vt:lpstr>Cost of Sales - SEO Campaigns</vt:lpstr>
      <vt:lpstr>SG&amp;A</vt:lpstr>
      <vt:lpstr>Fixed Assets</vt:lpstr>
      <vt:lpstr>Working Capital</vt:lpstr>
      <vt:lpstr>Financial Liabilities</vt:lpstr>
      <vt:lpstr>IS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Jessica Bezerra</cp:lastModifiedBy>
  <dcterms:created xsi:type="dcterms:W3CDTF">2016-05-14T12:47:35Z</dcterms:created>
  <dcterms:modified xsi:type="dcterms:W3CDTF">2024-01-30T09:24:09Z</dcterms:modified>
</cp:coreProperties>
</file>