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ssi\Desktop\Hallo Amsterdam\Igor Guerreiro\Courses\"/>
    </mc:Choice>
  </mc:AlternateContent>
  <xr:revisionPtr revIDLastSave="0" documentId="8_{1BC4AF94-D4CA-485F-9310-7746849ABED6}" xr6:coauthVersionLast="47" xr6:coauthVersionMax="47" xr10:uidLastSave="{00000000-0000-0000-0000-000000000000}"/>
  <workbookProtection workbookAlgorithmName="SHA-512" workbookHashValue="2QJ00aKzL5z/ARuPiK6DvKQ2UerVJ+S7vwxjAzRgFYq3Mz2amElX2u7jxWnTC/7xEm0ClF1bHiTKaZJNAOJcpw==" workbookSaltValue="EFr2c81pniYTQm0ugSQ7kQ==" workbookSpinCount="100000" lockStructure="1"/>
  <bookViews>
    <workbookView xWindow="-108" yWindow="-108" windowWidth="23256" windowHeight="12576" tabRatio="928" xr2:uid="{00000000-000D-0000-FFFF-FFFF00000000}"/>
  </bookViews>
  <sheets>
    <sheet name="Cover page" sheetId="1" r:id="rId1"/>
    <sheet name="Steps" sheetId="2" r:id="rId2"/>
    <sheet name="Interest schedule" sheetId="9" r:id="rId3"/>
    <sheet name="Financial model" sheetId="3" r:id="rId4"/>
    <sheet name="Scenarios" sheetId="8" r:id="rId5"/>
    <sheet name="Revenue breakdown" sheetId="7" r:id="rId6"/>
    <sheet name="Depreciation schedule" sheetId="6" r:id="rId7"/>
    <sheet name="Wall Street estimates" sheetId="4" r:id="rId8"/>
    <sheet name="Valuation--&gt;" sheetId="10" r:id="rId9"/>
    <sheet name="Comparable Trading analysis" sheetId="11" r:id="rId10"/>
    <sheet name="Comp Valuation" sheetId="14" r:id="rId11"/>
    <sheet name="Precedent Transaction " sheetId="15" r:id="rId12"/>
    <sheet name="AMZN" sheetId="12" r:id="rId13"/>
    <sheet name="DCF Analysis" sheetId="16" r:id="rId14"/>
    <sheet name="football field" sheetId="17" r:id="rId15"/>
  </sheets>
  <definedNames>
    <definedName name="_xlnm.Print_Area" localSheetId="0">'Cover page'!$B$2:$G$21</definedName>
    <definedName name="_xlnm.Print_Area" localSheetId="6">'Depreciation schedule'!$B$2:$M$41</definedName>
    <definedName name="_xlnm.Print_Area" localSheetId="3">'Financial model'!$B$3:$L$71,'Financial model'!$B$73:$L$120,'Financial model'!$B$122:$L$167,'Financial model'!$B$169:$L$243</definedName>
    <definedName name="_xlnm.Print_Area" localSheetId="2">'Interest schedule'!$B$3:$F$17</definedName>
    <definedName name="_xlnm.Print_Area" localSheetId="11">'Precedent Transaction '!$B$2:$H$38</definedName>
    <definedName name="_xlnm.Print_Area" localSheetId="5">'Revenue breakdown'!$B$2:$L$63</definedName>
    <definedName name="_xlnm.Print_Area" localSheetId="4">Scenarios!$B$2:$M$53,Scenarios!$B$57:$M$78</definedName>
    <definedName name="_xlnm.Print_Area" localSheetId="1">Steps!$B$2:$D$17</definedName>
    <definedName name="_xlnm.Print_Area" localSheetId="8">'Valuation--&gt;'!$B$2:$G$17</definedName>
    <definedName name="_xlnm.Print_Area" localSheetId="7">'Wall Street estimates'!$B$4:$J$41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6" l="1"/>
  <c r="C53" i="16"/>
  <c r="G35" i="8"/>
  <c r="H35" i="8" s="1"/>
  <c r="I35" i="8" s="1"/>
  <c r="G2" i="17"/>
  <c r="H51" i="8"/>
  <c r="I51" i="8"/>
  <c r="J51" i="8"/>
  <c r="K51" i="8"/>
  <c r="L51" i="8"/>
  <c r="G51" i="8"/>
  <c r="H50" i="8"/>
  <c r="I50" i="8"/>
  <c r="J50" i="8"/>
  <c r="K50" i="8"/>
  <c r="L50" i="8"/>
  <c r="G50" i="8"/>
  <c r="H49" i="8"/>
  <c r="I49" i="8"/>
  <c r="J49" i="8"/>
  <c r="K49" i="8"/>
  <c r="L49" i="8"/>
  <c r="G49" i="8"/>
  <c r="H48" i="8"/>
  <c r="I48" i="8" s="1"/>
  <c r="J48" i="8" s="1"/>
  <c r="K48" i="8" s="1"/>
  <c r="L48" i="8" s="1"/>
  <c r="G48" i="8"/>
  <c r="K47" i="8"/>
  <c r="L47" i="8" s="1"/>
  <c r="J47" i="8"/>
  <c r="I47" i="8"/>
  <c r="H47" i="8"/>
  <c r="G47" i="8"/>
  <c r="H40" i="8"/>
  <c r="I40" i="8"/>
  <c r="J40" i="8"/>
  <c r="K40" i="8"/>
  <c r="L40" i="8"/>
  <c r="H38" i="8"/>
  <c r="I38" i="8"/>
  <c r="J38" i="8"/>
  <c r="K38" i="8"/>
  <c r="L38" i="8"/>
  <c r="G40" i="8"/>
  <c r="G38" i="8"/>
  <c r="G36" i="8"/>
  <c r="H36" i="8" s="1"/>
  <c r="I36" i="8" s="1"/>
  <c r="J36" i="8" s="1"/>
  <c r="K36" i="8" s="1"/>
  <c r="L36" i="8" s="1"/>
  <c r="D22" i="8"/>
  <c r="D44" i="8" l="1"/>
  <c r="D33" i="8"/>
  <c r="F17" i="17"/>
  <c r="G6" i="17" l="1"/>
  <c r="G184" i="3" l="1"/>
  <c r="E3" i="17" l="1"/>
  <c r="B3" i="16" s="1"/>
  <c r="M9" i="16" l="1"/>
  <c r="H10" i="17" s="1"/>
  <c r="L9" i="16"/>
  <c r="F10" i="17" s="1"/>
  <c r="M8" i="16"/>
  <c r="H11" i="17" s="1"/>
  <c r="L8" i="16"/>
  <c r="F11" i="17" s="1"/>
  <c r="E53" i="16"/>
  <c r="E52" i="16" s="1"/>
  <c r="E55" i="16"/>
  <c r="E56" i="16" s="1"/>
  <c r="E36" i="16"/>
  <c r="E37" i="16" s="1"/>
  <c r="E34" i="16"/>
  <c r="E33" i="16" s="1"/>
  <c r="C89" i="16"/>
  <c r="C84" i="16"/>
  <c r="C74" i="16"/>
  <c r="C73" i="16"/>
  <c r="C72" i="16"/>
  <c r="C78" i="16" s="1"/>
  <c r="C69" i="16"/>
  <c r="C60" i="16"/>
  <c r="C41" i="16"/>
  <c r="C11" i="16"/>
  <c r="D35" i="14"/>
  <c r="L40" i="14" s="1"/>
  <c r="H9" i="17" s="1"/>
  <c r="F33" i="12"/>
  <c r="C40" i="16" s="1"/>
  <c r="C59" i="16" s="1"/>
  <c r="J13" i="14"/>
  <c r="L13" i="14" s="1"/>
  <c r="S25" i="11"/>
  <c r="P25" i="11"/>
  <c r="O25" i="11"/>
  <c r="M25" i="11"/>
  <c r="D5" i="14"/>
  <c r="L29" i="12"/>
  <c r="K29" i="12"/>
  <c r="L25" i="12"/>
  <c r="L24" i="12"/>
  <c r="K25" i="12"/>
  <c r="K24" i="12"/>
  <c r="J32" i="12"/>
  <c r="J29" i="12"/>
  <c r="J24" i="12"/>
  <c r="J25" i="12"/>
  <c r="U21" i="11"/>
  <c r="U20" i="11"/>
  <c r="C85" i="16" s="1"/>
  <c r="Q21" i="11"/>
  <c r="Q20" i="11"/>
  <c r="M21" i="11"/>
  <c r="K21" i="11"/>
  <c r="K20" i="11"/>
  <c r="J21" i="11"/>
  <c r="J20" i="11"/>
  <c r="I21" i="11"/>
  <c r="S18" i="11"/>
  <c r="P18" i="11"/>
  <c r="O18" i="11"/>
  <c r="M18" i="11"/>
  <c r="O17" i="11"/>
  <c r="M17" i="11"/>
  <c r="S16" i="11"/>
  <c r="P16" i="11"/>
  <c r="O16" i="11"/>
  <c r="M16" i="11"/>
  <c r="O15" i="11"/>
  <c r="O21" i="11" s="1"/>
  <c r="S14" i="11"/>
  <c r="P14" i="11"/>
  <c r="O14" i="11"/>
  <c r="M14" i="11"/>
  <c r="S13" i="11"/>
  <c r="P13" i="11"/>
  <c r="O13" i="11"/>
  <c r="M13" i="11"/>
  <c r="S12" i="11"/>
  <c r="P12" i="11"/>
  <c r="O12" i="11"/>
  <c r="M12" i="11"/>
  <c r="S11" i="11"/>
  <c r="P11" i="11"/>
  <c r="O11" i="11"/>
  <c r="M11" i="11"/>
  <c r="I11" i="11"/>
  <c r="I20" i="11" s="1"/>
  <c r="P10" i="11"/>
  <c r="P20" i="11" s="1"/>
  <c r="O10" i="11"/>
  <c r="S10" i="11"/>
  <c r="S20" i="11" s="1"/>
  <c r="M10" i="11"/>
  <c r="M20" i="11" s="1"/>
  <c r="H41" i="6"/>
  <c r="I41" i="6"/>
  <c r="J41" i="6"/>
  <c r="K41" i="6"/>
  <c r="L41" i="6"/>
  <c r="G41" i="6"/>
  <c r="C51" i="8"/>
  <c r="C40" i="8"/>
  <c r="G31" i="4"/>
  <c r="H31" i="4" s="1"/>
  <c r="G30" i="4"/>
  <c r="H30" i="4" s="1"/>
  <c r="H29" i="4"/>
  <c r="G29" i="4"/>
  <c r="G27" i="4"/>
  <c r="H27" i="4" s="1"/>
  <c r="F26" i="4"/>
  <c r="C24" i="4"/>
  <c r="E25" i="4"/>
  <c r="E26" i="4" s="1"/>
  <c r="F25" i="4"/>
  <c r="D25" i="4"/>
  <c r="D26" i="4" s="1"/>
  <c r="G24" i="4"/>
  <c r="G25" i="4" s="1"/>
  <c r="G26" i="4" s="1"/>
  <c r="G23" i="4"/>
  <c r="H23" i="4" s="1"/>
  <c r="C29" i="8"/>
  <c r="F27" i="7"/>
  <c r="E27" i="7"/>
  <c r="K224" i="3"/>
  <c r="J224" i="3"/>
  <c r="I224" i="3"/>
  <c r="H224" i="3"/>
  <c r="G224" i="3"/>
  <c r="J215" i="3"/>
  <c r="I215" i="3"/>
  <c r="H215" i="3"/>
  <c r="G215" i="3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D116" i="3"/>
  <c r="D114" i="3"/>
  <c r="D106" i="3"/>
  <c r="D98" i="3"/>
  <c r="D107" i="3" s="1"/>
  <c r="D94" i="3"/>
  <c r="D87" i="3"/>
  <c r="D109" i="3" s="1"/>
  <c r="D110" i="3" s="1"/>
  <c r="D82" i="3"/>
  <c r="C86" i="16" l="1"/>
  <c r="S21" i="11"/>
  <c r="P21" i="11"/>
  <c r="H24" i="4"/>
  <c r="H25" i="4" s="1"/>
  <c r="H26" i="4" s="1"/>
  <c r="O20" i="11"/>
  <c r="J25" i="14"/>
  <c r="C39" i="16"/>
  <c r="G10" i="17"/>
  <c r="G11" i="17"/>
  <c r="M10" i="16"/>
  <c r="L10" i="16"/>
  <c r="C58" i="16"/>
  <c r="C61" i="16" s="1"/>
  <c r="C42" i="16"/>
  <c r="L41" i="14"/>
  <c r="J40" i="14"/>
  <c r="F9" i="17" s="1"/>
  <c r="G9" i="17" s="1"/>
  <c r="J22" i="17"/>
  <c r="J21" i="17"/>
  <c r="J23" i="17"/>
  <c r="D21" i="16"/>
  <c r="E21" i="16" s="1"/>
  <c r="F21" i="16" s="1"/>
  <c r="G21" i="16" s="1"/>
  <c r="H21" i="16" s="1"/>
  <c r="I21" i="16" s="1"/>
  <c r="D8" i="16"/>
  <c r="E8" i="16" s="1"/>
  <c r="F8" i="16" s="1"/>
  <c r="G8" i="16" s="1"/>
  <c r="H8" i="16" s="1"/>
  <c r="I8" i="16" s="1"/>
  <c r="G36" i="15"/>
  <c r="G35" i="15"/>
  <c r="G19" i="15"/>
  <c r="G18" i="15"/>
  <c r="L25" i="14" l="1"/>
  <c r="L37" i="14" s="1"/>
  <c r="J37" i="14"/>
  <c r="C54" i="16"/>
  <c r="C35" i="16"/>
  <c r="J41" i="14"/>
  <c r="G28" i="12" l="1"/>
  <c r="C21" i="12"/>
  <c r="P8" i="14" l="1"/>
  <c r="H50" i="12"/>
  <c r="H49" i="12"/>
  <c r="C48" i="12"/>
  <c r="F47" i="12"/>
  <c r="M46" i="12"/>
  <c r="H46" i="12"/>
  <c r="F46" i="12"/>
  <c r="M45" i="12"/>
  <c r="H45" i="12"/>
  <c r="F45" i="12"/>
  <c r="F44" i="12"/>
  <c r="F43" i="12"/>
  <c r="F42" i="12"/>
  <c r="F41" i="12"/>
  <c r="M37" i="12"/>
  <c r="M34" i="12"/>
  <c r="M32" i="12"/>
  <c r="M30" i="12"/>
  <c r="M29" i="12"/>
  <c r="I13" i="12" s="1"/>
  <c r="L27" i="12"/>
  <c r="K27" i="12"/>
  <c r="J27" i="12"/>
  <c r="I6" i="12"/>
  <c r="M26" i="12"/>
  <c r="M25" i="12"/>
  <c r="M24" i="12"/>
  <c r="L23" i="12"/>
  <c r="L49" i="12" s="1"/>
  <c r="K23" i="12"/>
  <c r="J23" i="12"/>
  <c r="M22" i="12"/>
  <c r="M21" i="12"/>
  <c r="D23" i="14" s="1"/>
  <c r="M20" i="12"/>
  <c r="K10" i="12"/>
  <c r="E6" i="12"/>
  <c r="C9" i="10"/>
  <c r="C10" i="10" s="1"/>
  <c r="C11" i="10" s="1"/>
  <c r="C12" i="10" s="1"/>
  <c r="C24" i="11"/>
  <c r="B24" i="11"/>
  <c r="J24" i="14" l="1"/>
  <c r="J26" i="14" s="1"/>
  <c r="L24" i="14"/>
  <c r="L26" i="14" s="1"/>
  <c r="M23" i="12"/>
  <c r="M49" i="12" s="1"/>
  <c r="K28" i="12"/>
  <c r="K38" i="12" s="1"/>
  <c r="K52" i="12" s="1"/>
  <c r="L28" i="12"/>
  <c r="L38" i="12" s="1"/>
  <c r="L52" i="12" s="1"/>
  <c r="J28" i="12"/>
  <c r="J38" i="12" s="1"/>
  <c r="J52" i="12" s="1"/>
  <c r="M27" i="12"/>
  <c r="F48" i="12"/>
  <c r="J49" i="12"/>
  <c r="K49" i="12"/>
  <c r="O24" i="11"/>
  <c r="J50" i="12" l="1"/>
  <c r="M28" i="12"/>
  <c r="M38" i="12" s="1"/>
  <c r="D11" i="14" s="1"/>
  <c r="F23" i="12"/>
  <c r="F24" i="12" s="1"/>
  <c r="J31" i="12"/>
  <c r="J33" i="12" s="1"/>
  <c r="J35" i="12" s="1"/>
  <c r="J51" i="12" s="1"/>
  <c r="K50" i="12"/>
  <c r="L50" i="12"/>
  <c r="L31" i="12"/>
  <c r="L33" i="12" s="1"/>
  <c r="L35" i="12" s="1"/>
  <c r="L51" i="12" s="1"/>
  <c r="K31" i="12"/>
  <c r="K33" i="12" s="1"/>
  <c r="K35" i="12" s="1"/>
  <c r="K41" i="12" s="1"/>
  <c r="J12" i="14" l="1"/>
  <c r="J14" i="14" s="1"/>
  <c r="L12" i="14"/>
  <c r="L14" i="14" s="1"/>
  <c r="F25" i="12"/>
  <c r="F34" i="12" s="1"/>
  <c r="K5" i="12" s="1"/>
  <c r="C70" i="16"/>
  <c r="J15" i="14"/>
  <c r="J41" i="12"/>
  <c r="M50" i="12"/>
  <c r="M31" i="12"/>
  <c r="M33" i="12" s="1"/>
  <c r="M35" i="12" s="1"/>
  <c r="M51" i="12" s="1"/>
  <c r="K51" i="12"/>
  <c r="K42" i="12"/>
  <c r="L42" i="12"/>
  <c r="L41" i="12"/>
  <c r="E14" i="12"/>
  <c r="M52" i="12"/>
  <c r="Q24" i="11"/>
  <c r="G24" i="11"/>
  <c r="P24" i="11"/>
  <c r="E24" i="11"/>
  <c r="I24" i="11"/>
  <c r="I8" i="12" l="1"/>
  <c r="I9" i="12" s="1"/>
  <c r="J16" i="14"/>
  <c r="F8" i="17" s="1"/>
  <c r="J27" i="14"/>
  <c r="L15" i="14"/>
  <c r="L16" i="14" s="1"/>
  <c r="H8" i="17" s="1"/>
  <c r="C44" i="16"/>
  <c r="C71" i="16"/>
  <c r="C63" i="16"/>
  <c r="M41" i="12"/>
  <c r="M42" i="12"/>
  <c r="E7" i="12" s="1"/>
  <c r="E5" i="12" s="1"/>
  <c r="E13" i="12"/>
  <c r="E12" i="12" s="1"/>
  <c r="K14" i="12"/>
  <c r="I7" i="12"/>
  <c r="K24" i="11"/>
  <c r="J24" i="11"/>
  <c r="G8" i="17" l="1"/>
  <c r="C77" i="16"/>
  <c r="C75" i="16"/>
  <c r="L17" i="14"/>
  <c r="Q6" i="14"/>
  <c r="L27" i="14"/>
  <c r="J39" i="14"/>
  <c r="J38" i="14" s="1"/>
  <c r="J36" i="14" s="1"/>
  <c r="J28" i="14"/>
  <c r="F7" i="17" s="1"/>
  <c r="J17" i="14"/>
  <c r="P6" i="14"/>
  <c r="I14" i="12"/>
  <c r="I12" i="12" s="1"/>
  <c r="I5" i="12"/>
  <c r="S24" i="11"/>
  <c r="F14" i="17" l="1"/>
  <c r="F13" i="17"/>
  <c r="C79" i="16"/>
  <c r="E78" i="16" s="1"/>
  <c r="J29" i="14"/>
  <c r="P7" i="14"/>
  <c r="P9" i="14" s="1"/>
  <c r="L39" i="14"/>
  <c r="L38" i="14" s="1"/>
  <c r="L36" i="14" s="1"/>
  <c r="L28" i="14"/>
  <c r="H7" i="17" s="1"/>
  <c r="G18" i="8"/>
  <c r="G62" i="3" s="1"/>
  <c r="H18" i="8"/>
  <c r="H62" i="3" s="1"/>
  <c r="I18" i="8"/>
  <c r="I62" i="3" s="1"/>
  <c r="J18" i="8"/>
  <c r="J62" i="3" s="1"/>
  <c r="K18" i="8"/>
  <c r="K62" i="3" s="1"/>
  <c r="L18" i="8"/>
  <c r="L62" i="3" s="1"/>
  <c r="G34" i="8"/>
  <c r="H34" i="8" s="1"/>
  <c r="I34" i="8" s="1"/>
  <c r="J34" i="8" s="1"/>
  <c r="K34" i="8" s="1"/>
  <c r="L34" i="8" s="1"/>
  <c r="H46" i="8"/>
  <c r="I46" i="8"/>
  <c r="J46" i="8"/>
  <c r="K46" i="8"/>
  <c r="L46" i="8"/>
  <c r="G46" i="8"/>
  <c r="H45" i="8"/>
  <c r="I45" i="8"/>
  <c r="J45" i="8"/>
  <c r="K45" i="8"/>
  <c r="L45" i="8"/>
  <c r="G45" i="8"/>
  <c r="F47" i="3"/>
  <c r="E47" i="3"/>
  <c r="D47" i="3"/>
  <c r="C47" i="3"/>
  <c r="E48" i="3"/>
  <c r="F48" i="3"/>
  <c r="D48" i="3"/>
  <c r="J15" i="6"/>
  <c r="K15" i="6" s="1"/>
  <c r="L15" i="6" s="1"/>
  <c r="H35" i="3"/>
  <c r="I35" i="3"/>
  <c r="J35" i="3"/>
  <c r="K35" i="3"/>
  <c r="G35" i="3"/>
  <c r="G12" i="8"/>
  <c r="G53" i="3" s="1"/>
  <c r="H12" i="8"/>
  <c r="H53" i="3" s="1"/>
  <c r="I12" i="8"/>
  <c r="I53" i="3" s="1"/>
  <c r="J12" i="8"/>
  <c r="J53" i="3" s="1"/>
  <c r="K12" i="8"/>
  <c r="K53" i="3" s="1"/>
  <c r="L12" i="8"/>
  <c r="L53" i="3" s="1"/>
  <c r="G13" i="8"/>
  <c r="G55" i="3" s="1"/>
  <c r="H13" i="8"/>
  <c r="H55" i="3" s="1"/>
  <c r="I13" i="8"/>
  <c r="I55" i="3" s="1"/>
  <c r="J13" i="8"/>
  <c r="J55" i="3" s="1"/>
  <c r="K13" i="8"/>
  <c r="K55" i="3" s="1"/>
  <c r="L13" i="8"/>
  <c r="L55" i="3" s="1"/>
  <c r="G14" i="8"/>
  <c r="G56" i="3" s="1"/>
  <c r="H14" i="8"/>
  <c r="H56" i="3" s="1"/>
  <c r="I14" i="8"/>
  <c r="I56" i="3" s="1"/>
  <c r="J14" i="8"/>
  <c r="J56" i="3" s="1"/>
  <c r="K14" i="8"/>
  <c r="K56" i="3" s="1"/>
  <c r="L14" i="8"/>
  <c r="L56" i="3" s="1"/>
  <c r="G15" i="8"/>
  <c r="G57" i="3" s="1"/>
  <c r="H15" i="8"/>
  <c r="H57" i="3" s="1"/>
  <c r="I15" i="8"/>
  <c r="I57" i="3" s="1"/>
  <c r="J15" i="8"/>
  <c r="J57" i="3" s="1"/>
  <c r="K15" i="8"/>
  <c r="K57" i="3" s="1"/>
  <c r="L15" i="8"/>
  <c r="L57" i="3" s="1"/>
  <c r="G16" i="8"/>
  <c r="G58" i="3" s="1"/>
  <c r="H16" i="8"/>
  <c r="H58" i="3" s="1"/>
  <c r="I16" i="8"/>
  <c r="I58" i="3" s="1"/>
  <c r="J16" i="8"/>
  <c r="J58" i="3" s="1"/>
  <c r="K16" i="8"/>
  <c r="K58" i="3" s="1"/>
  <c r="L16" i="8"/>
  <c r="L58" i="3" s="1"/>
  <c r="G17" i="8"/>
  <c r="G59" i="3" s="1"/>
  <c r="H17" i="8"/>
  <c r="H59" i="3" s="1"/>
  <c r="I17" i="8"/>
  <c r="I59" i="3" s="1"/>
  <c r="J17" i="8"/>
  <c r="J59" i="3" s="1"/>
  <c r="K17" i="8"/>
  <c r="K59" i="3" s="1"/>
  <c r="L17" i="8"/>
  <c r="L59" i="3" s="1"/>
  <c r="H14" i="17" l="1"/>
  <c r="H13" i="17"/>
  <c r="G7" i="17"/>
  <c r="L29" i="14"/>
  <c r="Q8" i="14"/>
  <c r="Q7" i="14"/>
  <c r="E77" i="16"/>
  <c r="D3" i="16"/>
  <c r="C88" i="16" s="1"/>
  <c r="F208" i="3"/>
  <c r="E228" i="3"/>
  <c r="F228" i="3"/>
  <c r="E233" i="3"/>
  <c r="E234" i="3"/>
  <c r="E238" i="3"/>
  <c r="F238" i="3"/>
  <c r="E17" i="9"/>
  <c r="F16" i="9"/>
  <c r="F15" i="9"/>
  <c r="F14" i="9"/>
  <c r="F13" i="9"/>
  <c r="F12" i="9"/>
  <c r="F11" i="9"/>
  <c r="F10" i="9"/>
  <c r="F9" i="9"/>
  <c r="F8" i="9"/>
  <c r="F7" i="9"/>
  <c r="F6" i="9"/>
  <c r="F5" i="9"/>
  <c r="E225" i="3"/>
  <c r="H194" i="3"/>
  <c r="I194" i="3"/>
  <c r="J194" i="3"/>
  <c r="K194" i="3"/>
  <c r="L194" i="3"/>
  <c r="L199" i="3"/>
  <c r="L149" i="3" s="1"/>
  <c r="K201" i="3"/>
  <c r="K150" i="3" s="1"/>
  <c r="J201" i="3"/>
  <c r="J150" i="3" s="1"/>
  <c r="I201" i="3"/>
  <c r="I150" i="3" s="1"/>
  <c r="H201" i="3"/>
  <c r="H150" i="3" s="1"/>
  <c r="G201" i="3"/>
  <c r="G150" i="3" s="1"/>
  <c r="G96" i="3" s="1"/>
  <c r="J199" i="3"/>
  <c r="J149" i="3" s="1"/>
  <c r="I199" i="3"/>
  <c r="I149" i="3" s="1"/>
  <c r="H199" i="3"/>
  <c r="H149" i="3" s="1"/>
  <c r="G199" i="3"/>
  <c r="G149" i="3" s="1"/>
  <c r="G95" i="3" s="1"/>
  <c r="G205" i="3"/>
  <c r="G194" i="3"/>
  <c r="C91" i="16" l="1"/>
  <c r="Q9" i="14"/>
  <c r="F17" i="9"/>
  <c r="D17" i="9" s="1"/>
  <c r="G227" i="3" s="1"/>
  <c r="H95" i="3"/>
  <c r="I95" i="3" s="1"/>
  <c r="J95" i="3" s="1"/>
  <c r="H96" i="3"/>
  <c r="I96" i="3" s="1"/>
  <c r="J96" i="3" s="1"/>
  <c r="K96" i="3" s="1"/>
  <c r="E227" i="3"/>
  <c r="E235" i="3"/>
  <c r="E237" i="3" s="1"/>
  <c r="F233" i="3"/>
  <c r="F234" i="3"/>
  <c r="C234" i="3"/>
  <c r="G59" i="7"/>
  <c r="H59" i="7" s="1"/>
  <c r="F235" i="3" l="1"/>
  <c r="F237" i="3" s="1"/>
  <c r="G237" i="3"/>
  <c r="I59" i="7"/>
  <c r="J59" i="7" l="1"/>
  <c r="H153" i="3"/>
  <c r="I153" i="3"/>
  <c r="I155" i="3" s="1"/>
  <c r="J153" i="3"/>
  <c r="K153" i="3"/>
  <c r="L153" i="3"/>
  <c r="G153" i="3"/>
  <c r="F39" i="3"/>
  <c r="G39" i="3" s="1"/>
  <c r="H39" i="3" s="1"/>
  <c r="I39" i="3" s="1"/>
  <c r="J39" i="3" s="1"/>
  <c r="K39" i="3" s="1"/>
  <c r="L39" i="3" s="1"/>
  <c r="E39" i="3"/>
  <c r="D39" i="3"/>
  <c r="H175" i="3"/>
  <c r="G180" i="3"/>
  <c r="G182" i="3" s="1"/>
  <c r="H180" i="3" s="1"/>
  <c r="H182" i="3" s="1"/>
  <c r="I180" i="3" s="1"/>
  <c r="I182" i="3" s="1"/>
  <c r="J180" i="3" s="1"/>
  <c r="J182" i="3" s="1"/>
  <c r="K180" i="3" s="1"/>
  <c r="K182" i="3" s="1"/>
  <c r="L180" i="3" s="1"/>
  <c r="L182" i="3" s="1"/>
  <c r="F177" i="3"/>
  <c r="G174" i="3" s="1"/>
  <c r="F161" i="3"/>
  <c r="F162" i="3" s="1"/>
  <c r="H128" i="3"/>
  <c r="I128" i="3"/>
  <c r="J128" i="3"/>
  <c r="K128" i="3"/>
  <c r="L128" i="3"/>
  <c r="G128" i="3"/>
  <c r="G86" i="3" s="1"/>
  <c r="G104" i="3"/>
  <c r="H104" i="3" s="1"/>
  <c r="I104" i="3" s="1"/>
  <c r="J104" i="3" s="1"/>
  <c r="K104" i="3" s="1"/>
  <c r="L104" i="3" s="1"/>
  <c r="G101" i="3"/>
  <c r="H101" i="3" s="1"/>
  <c r="I101" i="3" s="1"/>
  <c r="G97" i="3"/>
  <c r="H97" i="3" s="1"/>
  <c r="I97" i="3" s="1"/>
  <c r="J97" i="3" s="1"/>
  <c r="K97" i="3" s="1"/>
  <c r="L97" i="3" s="1"/>
  <c r="G85" i="3"/>
  <c r="H85" i="3" s="1"/>
  <c r="I85" i="3" s="1"/>
  <c r="J85" i="3" s="1"/>
  <c r="K85" i="3" s="1"/>
  <c r="L85" i="3" s="1"/>
  <c r="G84" i="3"/>
  <c r="H84" i="3" s="1"/>
  <c r="I84" i="3" s="1"/>
  <c r="J84" i="3" s="1"/>
  <c r="K84" i="3" s="1"/>
  <c r="L84" i="3" s="1"/>
  <c r="G79" i="3"/>
  <c r="G234" i="3" s="1"/>
  <c r="J195" i="3" l="1"/>
  <c r="J155" i="3"/>
  <c r="H195" i="3"/>
  <c r="H155" i="3"/>
  <c r="L195" i="3"/>
  <c r="I195" i="3"/>
  <c r="K195" i="3"/>
  <c r="G195" i="3"/>
  <c r="G102" i="3"/>
  <c r="H102" i="3" s="1"/>
  <c r="I102" i="3" s="1"/>
  <c r="J102" i="3" s="1"/>
  <c r="K102" i="3" s="1"/>
  <c r="L102" i="3" s="1"/>
  <c r="H79" i="3"/>
  <c r="G177" i="3"/>
  <c r="H174" i="3" s="1"/>
  <c r="H177" i="3" s="1"/>
  <c r="I174" i="3" s="1"/>
  <c r="I177" i="3" s="1"/>
  <c r="J174" i="3" s="1"/>
  <c r="J177" i="3" s="1"/>
  <c r="K174" i="3" s="1"/>
  <c r="K177" i="3" s="1"/>
  <c r="L174" i="3" s="1"/>
  <c r="L177" i="3" s="1"/>
  <c r="K59" i="7"/>
  <c r="H86" i="3"/>
  <c r="I86" i="3" s="1"/>
  <c r="J86" i="3" s="1"/>
  <c r="K86" i="3" s="1"/>
  <c r="L86" i="3" s="1"/>
  <c r="J101" i="3"/>
  <c r="G8" i="6"/>
  <c r="E31" i="6"/>
  <c r="F31" i="6"/>
  <c r="D31" i="6"/>
  <c r="F12" i="6"/>
  <c r="E12" i="6"/>
  <c r="D12" i="6"/>
  <c r="F11" i="6"/>
  <c r="K17" i="6" s="1"/>
  <c r="E37" i="7"/>
  <c r="F37" i="7"/>
  <c r="E38" i="7"/>
  <c r="F38" i="7"/>
  <c r="E39" i="7"/>
  <c r="F39" i="7"/>
  <c r="E40" i="7"/>
  <c r="F40" i="7"/>
  <c r="E41" i="7"/>
  <c r="F41" i="7"/>
  <c r="F36" i="7"/>
  <c r="E36" i="7"/>
  <c r="C37" i="7"/>
  <c r="C38" i="7"/>
  <c r="C39" i="7"/>
  <c r="C40" i="7"/>
  <c r="C41" i="7"/>
  <c r="C36" i="7"/>
  <c r="F33" i="7"/>
  <c r="F34" i="7"/>
  <c r="F35" i="7"/>
  <c r="E34" i="7"/>
  <c r="E35" i="7"/>
  <c r="E33" i="7"/>
  <c r="C34" i="7"/>
  <c r="C33" i="7"/>
  <c r="C32" i="7"/>
  <c r="C31" i="7"/>
  <c r="H234" i="3" l="1"/>
  <c r="I79" i="3"/>
  <c r="K178" i="3"/>
  <c r="K38" i="3" s="1"/>
  <c r="K40" i="3" s="1"/>
  <c r="G178" i="3"/>
  <c r="G38" i="3" s="1"/>
  <c r="G40" i="3" s="1"/>
  <c r="H178" i="3"/>
  <c r="H38" i="3" s="1"/>
  <c r="H40" i="3" s="1"/>
  <c r="L178" i="3"/>
  <c r="L38" i="3" s="1"/>
  <c r="L40" i="3" s="1"/>
  <c r="I178" i="3"/>
  <c r="I38" i="3" s="1"/>
  <c r="I40" i="3" s="1"/>
  <c r="J178" i="3"/>
  <c r="J38" i="3" s="1"/>
  <c r="J40" i="3" s="1"/>
  <c r="L59" i="7"/>
  <c r="K101" i="3"/>
  <c r="J17" i="6"/>
  <c r="G17" i="6"/>
  <c r="I17" i="6"/>
  <c r="L17" i="6"/>
  <c r="H17" i="6"/>
  <c r="I18" i="4"/>
  <c r="L30" i="8" s="1"/>
  <c r="H18" i="4"/>
  <c r="K30" i="8" s="1"/>
  <c r="G18" i="4"/>
  <c r="J30" i="8" s="1"/>
  <c r="F18" i="4"/>
  <c r="I30" i="8" s="1"/>
  <c r="E18" i="4"/>
  <c r="H30" i="8" s="1"/>
  <c r="D18" i="4"/>
  <c r="G30" i="8" s="1"/>
  <c r="H17" i="4"/>
  <c r="K69" i="3" s="1"/>
  <c r="G17" i="4"/>
  <c r="J69" i="3" s="1"/>
  <c r="F17" i="4"/>
  <c r="I69" i="3" s="1"/>
  <c r="E17" i="4"/>
  <c r="H69" i="3" s="1"/>
  <c r="D17" i="4"/>
  <c r="G69" i="3" s="1"/>
  <c r="H16" i="4"/>
  <c r="K61" i="3" s="1"/>
  <c r="G16" i="4"/>
  <c r="J61" i="3" s="1"/>
  <c r="F16" i="4"/>
  <c r="I61" i="3" s="1"/>
  <c r="E16" i="4"/>
  <c r="H61" i="3" s="1"/>
  <c r="D16" i="4"/>
  <c r="G61" i="3" s="1"/>
  <c r="H15" i="4"/>
  <c r="I15" i="4" s="1"/>
  <c r="G15" i="4"/>
  <c r="F15" i="4"/>
  <c r="E15" i="4"/>
  <c r="D15" i="4"/>
  <c r="H12" i="4"/>
  <c r="K22" i="8" s="1"/>
  <c r="G12" i="4"/>
  <c r="J22" i="8" s="1"/>
  <c r="F12" i="4"/>
  <c r="I22" i="8" s="1"/>
  <c r="E12" i="4"/>
  <c r="H22" i="8" s="1"/>
  <c r="D10" i="4"/>
  <c r="E10" i="4" s="1"/>
  <c r="F10" i="4" s="1"/>
  <c r="G10" i="4" s="1"/>
  <c r="H10" i="4" s="1"/>
  <c r="I10" i="4" s="1"/>
  <c r="G9" i="8"/>
  <c r="H9" i="8" s="1"/>
  <c r="I9" i="8" s="1"/>
  <c r="J9" i="8" s="1"/>
  <c r="K9" i="8" s="1"/>
  <c r="L9" i="8" s="1"/>
  <c r="C19" i="6"/>
  <c r="C20" i="6" s="1"/>
  <c r="C21" i="6" s="1"/>
  <c r="C22" i="6" s="1"/>
  <c r="C23" i="6" s="1"/>
  <c r="H8" i="6"/>
  <c r="I8" i="6" s="1"/>
  <c r="J8" i="6" s="1"/>
  <c r="K8" i="6" s="1"/>
  <c r="L8" i="6" s="1"/>
  <c r="C56" i="7"/>
  <c r="C55" i="7"/>
  <c r="C54" i="7"/>
  <c r="C53" i="7"/>
  <c r="C52" i="7"/>
  <c r="C49" i="7"/>
  <c r="C48" i="7"/>
  <c r="C46" i="7"/>
  <c r="C45" i="7"/>
  <c r="F28" i="7"/>
  <c r="E28" i="7"/>
  <c r="D28" i="7"/>
  <c r="F19" i="7"/>
  <c r="F50" i="7" s="1"/>
  <c r="G50" i="7" s="1"/>
  <c r="H50" i="7" s="1"/>
  <c r="I50" i="7" s="1"/>
  <c r="J50" i="7" s="1"/>
  <c r="K50" i="7" s="1"/>
  <c r="L50" i="7" s="1"/>
  <c r="E19" i="7"/>
  <c r="E50" i="7" s="1"/>
  <c r="D19" i="7"/>
  <c r="D50" i="7" s="1"/>
  <c r="C18" i="7"/>
  <c r="C35" i="7" s="1"/>
  <c r="F12" i="7"/>
  <c r="E12" i="7"/>
  <c r="D12" i="7"/>
  <c r="F11" i="7"/>
  <c r="E11" i="7"/>
  <c r="D11" i="7"/>
  <c r="G8" i="7"/>
  <c r="H8" i="7" s="1"/>
  <c r="I8" i="7" s="1"/>
  <c r="J8" i="7" s="1"/>
  <c r="K8" i="7" s="1"/>
  <c r="L8" i="7" s="1"/>
  <c r="G231" i="3"/>
  <c r="F225" i="3"/>
  <c r="F216" i="3"/>
  <c r="G214" i="3" s="1"/>
  <c r="F202" i="3"/>
  <c r="G191" i="3" s="1"/>
  <c r="G190" i="3"/>
  <c r="H190" i="3" s="1"/>
  <c r="I190" i="3" s="1"/>
  <c r="J190" i="3" s="1"/>
  <c r="K190" i="3" s="1"/>
  <c r="L190" i="3" s="1"/>
  <c r="G172" i="3"/>
  <c r="H172" i="3" s="1"/>
  <c r="I172" i="3" s="1"/>
  <c r="J172" i="3" s="1"/>
  <c r="K172" i="3" s="1"/>
  <c r="L172" i="3" s="1"/>
  <c r="C139" i="3"/>
  <c r="C138" i="3"/>
  <c r="C137" i="3"/>
  <c r="C136" i="3"/>
  <c r="C135" i="3"/>
  <c r="G125" i="3"/>
  <c r="H125" i="3" s="1"/>
  <c r="I125" i="3" s="1"/>
  <c r="J125" i="3" s="1"/>
  <c r="K125" i="3" s="1"/>
  <c r="L125" i="3" s="1"/>
  <c r="F116" i="3"/>
  <c r="G116" i="3" s="1"/>
  <c r="H116" i="3" s="1"/>
  <c r="I116" i="3" s="1"/>
  <c r="J116" i="3" s="1"/>
  <c r="K116" i="3" s="1"/>
  <c r="L116" i="3" s="1"/>
  <c r="E116" i="3"/>
  <c r="F114" i="3"/>
  <c r="G114" i="3" s="1"/>
  <c r="H114" i="3" s="1"/>
  <c r="I114" i="3" s="1"/>
  <c r="J114" i="3" s="1"/>
  <c r="K114" i="3" s="1"/>
  <c r="L114" i="3" s="1"/>
  <c r="E114" i="3"/>
  <c r="F106" i="3"/>
  <c r="E106" i="3"/>
  <c r="F94" i="3"/>
  <c r="F98" i="3" s="1"/>
  <c r="E94" i="3"/>
  <c r="E98" i="3" s="1"/>
  <c r="F82" i="3"/>
  <c r="F87" i="3" s="1"/>
  <c r="E82" i="3"/>
  <c r="E87" i="3" s="1"/>
  <c r="G76" i="3"/>
  <c r="H76" i="3" s="1"/>
  <c r="I76" i="3" s="1"/>
  <c r="J76" i="3" s="1"/>
  <c r="K76" i="3" s="1"/>
  <c r="L76" i="3" s="1"/>
  <c r="C63" i="3"/>
  <c r="C59" i="3"/>
  <c r="C58" i="3"/>
  <c r="C57" i="3"/>
  <c r="C56" i="3"/>
  <c r="C55" i="3"/>
  <c r="F52" i="3"/>
  <c r="E52" i="3"/>
  <c r="D52" i="3"/>
  <c r="C44" i="3"/>
  <c r="F26" i="3"/>
  <c r="E26" i="3"/>
  <c r="D26" i="3"/>
  <c r="F20" i="3"/>
  <c r="E20" i="3"/>
  <c r="D20" i="3"/>
  <c r="F11" i="3"/>
  <c r="F10" i="6" s="1"/>
  <c r="F29" i="6" s="1"/>
  <c r="E11" i="3"/>
  <c r="D11" i="3"/>
  <c r="G8" i="3"/>
  <c r="H8" i="3" s="1"/>
  <c r="I8" i="3" s="1"/>
  <c r="J8" i="3" s="1"/>
  <c r="K8" i="3" s="1"/>
  <c r="L8" i="3" s="1"/>
  <c r="C16" i="1"/>
  <c r="C17" i="1" s="1"/>
  <c r="C18" i="1" s="1"/>
  <c r="C19" i="1" s="1"/>
  <c r="C9" i="1"/>
  <c r="C10" i="1" s="1"/>
  <c r="C11" i="1" s="1"/>
  <c r="C12" i="1" s="1"/>
  <c r="E10" i="6" l="1"/>
  <c r="E29" i="6" s="1"/>
  <c r="E13" i="3"/>
  <c r="H19" i="8"/>
  <c r="H13" i="6" s="1"/>
  <c r="H41" i="8"/>
  <c r="L19" i="8"/>
  <c r="L13" i="6" s="1"/>
  <c r="L41" i="8"/>
  <c r="I19" i="8"/>
  <c r="I13" i="6" s="1"/>
  <c r="I41" i="8"/>
  <c r="D65" i="3"/>
  <c r="D117" i="3"/>
  <c r="J19" i="8"/>
  <c r="J13" i="6" s="1"/>
  <c r="J41" i="8"/>
  <c r="D10" i="6"/>
  <c r="D29" i="6" s="1"/>
  <c r="D118" i="3"/>
  <c r="D13" i="3"/>
  <c r="D115" i="3"/>
  <c r="G19" i="8"/>
  <c r="G13" i="6" s="1"/>
  <c r="G41" i="8"/>
  <c r="K19" i="8"/>
  <c r="K13" i="6" s="1"/>
  <c r="K41" i="8"/>
  <c r="I17" i="4"/>
  <c r="I12" i="4"/>
  <c r="L22" i="8" s="1"/>
  <c r="L33" i="8" s="1"/>
  <c r="L11" i="8"/>
  <c r="L30" i="7" s="1"/>
  <c r="H33" i="8"/>
  <c r="H11" i="8"/>
  <c r="H30" i="7" s="1"/>
  <c r="I16" i="4"/>
  <c r="I33" i="8"/>
  <c r="I11" i="8" s="1"/>
  <c r="I30" i="7" s="1"/>
  <c r="J33" i="8"/>
  <c r="J11" i="8"/>
  <c r="J30" i="7" s="1"/>
  <c r="K33" i="8"/>
  <c r="K11" i="8"/>
  <c r="K30" i="7" s="1"/>
  <c r="E117" i="3"/>
  <c r="E65" i="3"/>
  <c r="F117" i="3"/>
  <c r="G117" i="3" s="1"/>
  <c r="H117" i="3" s="1"/>
  <c r="I117" i="3" s="1"/>
  <c r="J117" i="3" s="1"/>
  <c r="K117" i="3" s="1"/>
  <c r="L117" i="3" s="1"/>
  <c r="F65" i="3"/>
  <c r="G65" i="3" s="1"/>
  <c r="H65" i="3" s="1"/>
  <c r="I65" i="3" s="1"/>
  <c r="J65" i="3" s="1"/>
  <c r="K65" i="3" s="1"/>
  <c r="L65" i="3" s="1"/>
  <c r="G222" i="3"/>
  <c r="G225" i="3" s="1"/>
  <c r="G226" i="3" s="1"/>
  <c r="G228" i="3" s="1"/>
  <c r="F227" i="3"/>
  <c r="G216" i="3"/>
  <c r="H214" i="3" s="1"/>
  <c r="F107" i="3"/>
  <c r="F109" i="3" s="1"/>
  <c r="F110" i="3" s="1"/>
  <c r="F115" i="3"/>
  <c r="G115" i="3" s="1"/>
  <c r="H115" i="3" s="1"/>
  <c r="I115" i="3" s="1"/>
  <c r="J115" i="3" s="1"/>
  <c r="K115" i="3" s="1"/>
  <c r="L115" i="3" s="1"/>
  <c r="E107" i="3"/>
  <c r="E109" i="3" s="1"/>
  <c r="E110" i="3" s="1"/>
  <c r="D53" i="3"/>
  <c r="D23" i="8" s="1"/>
  <c r="D64" i="3"/>
  <c r="F53" i="3"/>
  <c r="F23" i="8" s="1"/>
  <c r="F64" i="3"/>
  <c r="D21" i="3"/>
  <c r="D45" i="3" s="1"/>
  <c r="D46" i="3" s="1"/>
  <c r="J79" i="3"/>
  <c r="I234" i="3"/>
  <c r="F13" i="3"/>
  <c r="D56" i="3"/>
  <c r="D25" i="8" s="1"/>
  <c r="D58" i="3"/>
  <c r="D27" i="8" s="1"/>
  <c r="E118" i="3"/>
  <c r="E42" i="3"/>
  <c r="E22" i="8" s="1"/>
  <c r="E58" i="3"/>
  <c r="E27" i="8" s="1"/>
  <c r="F118" i="3"/>
  <c r="G118" i="3" s="1"/>
  <c r="H118" i="3" s="1"/>
  <c r="I118" i="3" s="1"/>
  <c r="J118" i="3" s="1"/>
  <c r="K118" i="3" s="1"/>
  <c r="L118" i="3" s="1"/>
  <c r="E56" i="3"/>
  <c r="E25" i="8" s="1"/>
  <c r="F42" i="3"/>
  <c r="F22" i="8" s="1"/>
  <c r="F56" i="3"/>
  <c r="F25" i="8" s="1"/>
  <c r="F58" i="3"/>
  <c r="F27" i="8" s="1"/>
  <c r="E64" i="3"/>
  <c r="E115" i="3"/>
  <c r="D55" i="3"/>
  <c r="D24" i="8" s="1"/>
  <c r="D57" i="3"/>
  <c r="D26" i="8" s="1"/>
  <c r="D59" i="3"/>
  <c r="D28" i="8" s="1"/>
  <c r="D66" i="3"/>
  <c r="D30" i="8" s="1"/>
  <c r="D13" i="6"/>
  <c r="E55" i="3"/>
  <c r="E24" i="8" s="1"/>
  <c r="E57" i="3"/>
  <c r="E26" i="8" s="1"/>
  <c r="E59" i="3"/>
  <c r="E28" i="8" s="1"/>
  <c r="F13" i="6"/>
  <c r="E66" i="3"/>
  <c r="E30" i="8" s="1"/>
  <c r="E53" i="3"/>
  <c r="E23" i="8" s="1"/>
  <c r="F55" i="3"/>
  <c r="F24" i="8" s="1"/>
  <c r="F57" i="3"/>
  <c r="F26" i="8" s="1"/>
  <c r="F59" i="3"/>
  <c r="F28" i="8" s="1"/>
  <c r="F66" i="3"/>
  <c r="F30" i="8" s="1"/>
  <c r="C23" i="4"/>
  <c r="F32" i="6"/>
  <c r="E56" i="7"/>
  <c r="E57" i="7"/>
  <c r="F56" i="7"/>
  <c r="G56" i="7" s="1"/>
  <c r="H56" i="7" s="1"/>
  <c r="I56" i="7" s="1"/>
  <c r="J56" i="7" s="1"/>
  <c r="K56" i="7" s="1"/>
  <c r="L56" i="7" s="1"/>
  <c r="F57" i="7"/>
  <c r="G57" i="7" s="1"/>
  <c r="H57" i="7" s="1"/>
  <c r="I57" i="7" s="1"/>
  <c r="J57" i="7" s="1"/>
  <c r="K57" i="7" s="1"/>
  <c r="L57" i="7" s="1"/>
  <c r="F30" i="7"/>
  <c r="D56" i="7"/>
  <c r="D57" i="7"/>
  <c r="L101" i="3"/>
  <c r="E31" i="7"/>
  <c r="F48" i="7"/>
  <c r="G48" i="7" s="1"/>
  <c r="H48" i="7" s="1"/>
  <c r="I48" i="7" s="1"/>
  <c r="J48" i="7" s="1"/>
  <c r="K48" i="7" s="1"/>
  <c r="L48" i="7" s="1"/>
  <c r="F49" i="7"/>
  <c r="G49" i="7" s="1"/>
  <c r="H49" i="7" s="1"/>
  <c r="I49" i="7" s="1"/>
  <c r="J49" i="7" s="1"/>
  <c r="K49" i="7" s="1"/>
  <c r="L49" i="7" s="1"/>
  <c r="F52" i="7"/>
  <c r="G52" i="7" s="1"/>
  <c r="H52" i="7" s="1"/>
  <c r="I52" i="7" s="1"/>
  <c r="J52" i="7" s="1"/>
  <c r="K52" i="7" s="1"/>
  <c r="L52" i="7" s="1"/>
  <c r="F53" i="7"/>
  <c r="G53" i="7" s="1"/>
  <c r="H53" i="7" s="1"/>
  <c r="I53" i="7" s="1"/>
  <c r="J53" i="7" s="1"/>
  <c r="K53" i="7" s="1"/>
  <c r="L53" i="7" s="1"/>
  <c r="F54" i="7"/>
  <c r="G54" i="7" s="1"/>
  <c r="H54" i="7" s="1"/>
  <c r="I54" i="7" s="1"/>
  <c r="J54" i="7" s="1"/>
  <c r="K54" i="7" s="1"/>
  <c r="L54" i="7" s="1"/>
  <c r="F55" i="7"/>
  <c r="G55" i="7" s="1"/>
  <c r="H55" i="7" s="1"/>
  <c r="I55" i="7" s="1"/>
  <c r="J55" i="7" s="1"/>
  <c r="K55" i="7" s="1"/>
  <c r="L55" i="7" s="1"/>
  <c r="E30" i="7"/>
  <c r="C50" i="7"/>
  <c r="D48" i="7"/>
  <c r="D49" i="7"/>
  <c r="D52" i="7"/>
  <c r="D53" i="7"/>
  <c r="D54" i="7"/>
  <c r="D55" i="7"/>
  <c r="E48" i="7"/>
  <c r="E49" i="7"/>
  <c r="E52" i="7"/>
  <c r="E53" i="7"/>
  <c r="E54" i="7"/>
  <c r="E55" i="7"/>
  <c r="F32" i="7"/>
  <c r="E32" i="7"/>
  <c r="F31" i="7"/>
  <c r="F13" i="7"/>
  <c r="F61" i="7" s="1"/>
  <c r="D13" i="7"/>
  <c r="D45" i="7" s="1"/>
  <c r="E13" i="7"/>
  <c r="E46" i="7" s="1"/>
  <c r="D12" i="4" l="1"/>
  <c r="G22" i="8" s="1"/>
  <c r="G44" i="8" s="1"/>
  <c r="H44" i="8" s="1"/>
  <c r="I44" i="8" s="1"/>
  <c r="J44" i="8" s="1"/>
  <c r="K44" i="8" s="1"/>
  <c r="L44" i="8" s="1"/>
  <c r="C25" i="4"/>
  <c r="C26" i="4" s="1"/>
  <c r="F35" i="8"/>
  <c r="F46" i="8"/>
  <c r="E50" i="8"/>
  <c r="E39" i="8"/>
  <c r="D41" i="8"/>
  <c r="D52" i="8"/>
  <c r="D32" i="6"/>
  <c r="F47" i="8"/>
  <c r="F36" i="8"/>
  <c r="E38" i="8"/>
  <c r="E49" i="8"/>
  <c r="D49" i="8"/>
  <c r="D38" i="8"/>
  <c r="F34" i="8"/>
  <c r="F45" i="8"/>
  <c r="F41" i="8"/>
  <c r="F52" i="8"/>
  <c r="D50" i="8"/>
  <c r="D39" i="8"/>
  <c r="G39" i="8" s="1"/>
  <c r="F33" i="8"/>
  <c r="F44" i="8"/>
  <c r="E44" i="8"/>
  <c r="E33" i="8"/>
  <c r="D47" i="8"/>
  <c r="D36" i="8"/>
  <c r="F37" i="8"/>
  <c r="G37" i="8" s="1"/>
  <c r="H37" i="8" s="1"/>
  <c r="I37" i="8" s="1"/>
  <c r="J37" i="8" s="1"/>
  <c r="K37" i="8" s="1"/>
  <c r="L37" i="8" s="1"/>
  <c r="F48" i="8"/>
  <c r="E34" i="8"/>
  <c r="E45" i="8"/>
  <c r="E37" i="8"/>
  <c r="E48" i="8"/>
  <c r="F39" i="8"/>
  <c r="F50" i="8"/>
  <c r="E41" i="8"/>
  <c r="E52" i="8"/>
  <c r="E46" i="8"/>
  <c r="E35" i="8"/>
  <c r="D37" i="8"/>
  <c r="D48" i="8"/>
  <c r="E36" i="8"/>
  <c r="E47" i="8"/>
  <c r="E32" i="6"/>
  <c r="E13" i="6"/>
  <c r="D45" i="8"/>
  <c r="D34" i="8"/>
  <c r="D46" i="8"/>
  <c r="D35" i="8"/>
  <c r="F38" i="8"/>
  <c r="F49" i="8"/>
  <c r="D67" i="3"/>
  <c r="D49" i="3"/>
  <c r="D68" i="3" s="1"/>
  <c r="H216" i="3"/>
  <c r="I214" i="3" s="1"/>
  <c r="G217" i="3"/>
  <c r="G218" i="3" s="1"/>
  <c r="H222" i="3"/>
  <c r="H225" i="3" s="1"/>
  <c r="K79" i="3"/>
  <c r="J234" i="3"/>
  <c r="D28" i="3"/>
  <c r="D62" i="3" s="1"/>
  <c r="D29" i="8" s="1"/>
  <c r="D54" i="3"/>
  <c r="D60" i="3"/>
  <c r="F54" i="3"/>
  <c r="F21" i="3"/>
  <c r="E21" i="3"/>
  <c r="E54" i="3"/>
  <c r="F46" i="7"/>
  <c r="G46" i="7" s="1"/>
  <c r="F45" i="7"/>
  <c r="G45" i="7" s="1"/>
  <c r="D46" i="7"/>
  <c r="E45" i="7"/>
  <c r="D40" i="8" l="1"/>
  <c r="D51" i="8"/>
  <c r="H39" i="8"/>
  <c r="H217" i="3"/>
  <c r="H218" i="3" s="1"/>
  <c r="G33" i="8"/>
  <c r="G11" i="8" s="1"/>
  <c r="G30" i="7" s="1"/>
  <c r="G28" i="7" s="1"/>
  <c r="H28" i="7" s="1"/>
  <c r="H24" i="7" s="1"/>
  <c r="I222" i="3"/>
  <c r="I225" i="3" s="1"/>
  <c r="I226" i="3"/>
  <c r="I228" i="3" s="1"/>
  <c r="H226" i="3"/>
  <c r="H228" i="3" s="1"/>
  <c r="I216" i="3"/>
  <c r="J214" i="3" s="1"/>
  <c r="F45" i="3"/>
  <c r="F28" i="3"/>
  <c r="C30" i="4" s="1"/>
  <c r="F60" i="3"/>
  <c r="D31" i="3"/>
  <c r="D63" i="3" s="1"/>
  <c r="L79" i="3"/>
  <c r="L234" i="3" s="1"/>
  <c r="K234" i="3"/>
  <c r="E45" i="3"/>
  <c r="E46" i="3" s="1"/>
  <c r="E60" i="3"/>
  <c r="E28" i="3"/>
  <c r="H45" i="7"/>
  <c r="H46" i="7"/>
  <c r="I39" i="8" l="1"/>
  <c r="F46" i="3"/>
  <c r="C27" i="4"/>
  <c r="J39" i="8"/>
  <c r="K39" i="8" s="1"/>
  <c r="L39" i="8" s="1"/>
  <c r="G27" i="7"/>
  <c r="G41" i="7" s="1"/>
  <c r="G13" i="7"/>
  <c r="G11" i="7" s="1"/>
  <c r="G19" i="7"/>
  <c r="H19" i="7" s="1"/>
  <c r="I19" i="7" s="1"/>
  <c r="J19" i="7" s="1"/>
  <c r="E67" i="3"/>
  <c r="E49" i="3"/>
  <c r="E68" i="3" s="1"/>
  <c r="F67" i="3"/>
  <c r="F49" i="3"/>
  <c r="F68" i="3" s="1"/>
  <c r="G25" i="7"/>
  <c r="G39" i="7" s="1"/>
  <c r="G23" i="7"/>
  <c r="G37" i="7" s="1"/>
  <c r="G24" i="7"/>
  <c r="G38" i="7" s="1"/>
  <c r="G22" i="7"/>
  <c r="G36" i="7" s="1"/>
  <c r="G26" i="7"/>
  <c r="G40" i="7" s="1"/>
  <c r="H26" i="7"/>
  <c r="H40" i="7" s="1"/>
  <c r="H22" i="7"/>
  <c r="I28" i="7"/>
  <c r="I24" i="7" s="1"/>
  <c r="I38" i="7" s="1"/>
  <c r="H23" i="7"/>
  <c r="H37" i="7" s="1"/>
  <c r="H27" i="7"/>
  <c r="H41" i="7" s="1"/>
  <c r="H25" i="7"/>
  <c r="J216" i="3"/>
  <c r="K214" i="3" s="1"/>
  <c r="I217" i="3"/>
  <c r="I218" i="3" s="1"/>
  <c r="J222" i="3"/>
  <c r="J225" i="3" s="1"/>
  <c r="D34" i="3"/>
  <c r="D33" i="3"/>
  <c r="F62" i="3"/>
  <c r="F29" i="8" s="1"/>
  <c r="F31" i="3"/>
  <c r="C31" i="4" s="1"/>
  <c r="E62" i="3"/>
  <c r="E29" i="8" s="1"/>
  <c r="E31" i="3"/>
  <c r="I46" i="7"/>
  <c r="I45" i="7"/>
  <c r="G9" i="3" l="1"/>
  <c r="G31" i="7"/>
  <c r="F51" i="8"/>
  <c r="F40" i="8"/>
  <c r="C29" i="4"/>
  <c r="C10" i="16"/>
  <c r="E40" i="8"/>
  <c r="E51" i="8"/>
  <c r="H39" i="7"/>
  <c r="H36" i="7"/>
  <c r="H13" i="7"/>
  <c r="I13" i="7" s="1"/>
  <c r="H38" i="7"/>
  <c r="G61" i="7"/>
  <c r="G12" i="7"/>
  <c r="G17" i="7"/>
  <c r="G34" i="7" s="1"/>
  <c r="G18" i="7"/>
  <c r="G35" i="7" s="1"/>
  <c r="H18" i="7"/>
  <c r="I17" i="7"/>
  <c r="I16" i="7"/>
  <c r="I18" i="7"/>
  <c r="I35" i="7" s="1"/>
  <c r="G16" i="7"/>
  <c r="G33" i="7" s="1"/>
  <c r="H17" i="7"/>
  <c r="H34" i="7" s="1"/>
  <c r="H16" i="7"/>
  <c r="H33" i="7" s="1"/>
  <c r="H12" i="7"/>
  <c r="H61" i="7"/>
  <c r="J28" i="7"/>
  <c r="J23" i="7" s="1"/>
  <c r="I22" i="7"/>
  <c r="I36" i="7" s="1"/>
  <c r="I26" i="7"/>
  <c r="I40" i="7" s="1"/>
  <c r="I23" i="7"/>
  <c r="I37" i="7" s="1"/>
  <c r="I25" i="7"/>
  <c r="I39" i="7" s="1"/>
  <c r="I27" i="7"/>
  <c r="I41" i="7" s="1"/>
  <c r="J217" i="3"/>
  <c r="J218" i="3" s="1"/>
  <c r="K222" i="3"/>
  <c r="K225" i="3" s="1"/>
  <c r="K226" i="3" s="1"/>
  <c r="K228" i="3" s="1"/>
  <c r="J226" i="3"/>
  <c r="J228" i="3" s="1"/>
  <c r="K199" i="3"/>
  <c r="K149" i="3" s="1"/>
  <c r="F63" i="3"/>
  <c r="F33" i="3"/>
  <c r="E33" i="3"/>
  <c r="E63" i="3"/>
  <c r="J13" i="7"/>
  <c r="I61" i="7"/>
  <c r="J45" i="7"/>
  <c r="I11" i="7"/>
  <c r="I12" i="7"/>
  <c r="J46" i="7"/>
  <c r="K19" i="7"/>
  <c r="J17" i="7"/>
  <c r="J34" i="7" s="1"/>
  <c r="J18" i="7"/>
  <c r="J35" i="7" s="1"/>
  <c r="J16" i="7"/>
  <c r="J33" i="7" s="1"/>
  <c r="I9" i="3" l="1"/>
  <c r="H10" i="3"/>
  <c r="H32" i="7"/>
  <c r="I10" i="3"/>
  <c r="I32" i="7"/>
  <c r="J37" i="7"/>
  <c r="I33" i="7"/>
  <c r="I34" i="7"/>
  <c r="G10" i="3"/>
  <c r="G11" i="3" s="1"/>
  <c r="G32" i="7"/>
  <c r="H11" i="7"/>
  <c r="H35" i="7"/>
  <c r="G12" i="3"/>
  <c r="G13" i="3" s="1"/>
  <c r="G19" i="3"/>
  <c r="G47" i="3" s="1"/>
  <c r="G18" i="3"/>
  <c r="J24" i="7"/>
  <c r="J38" i="7" s="1"/>
  <c r="J26" i="7"/>
  <c r="J40" i="7" s="1"/>
  <c r="J22" i="7"/>
  <c r="J36" i="7" s="1"/>
  <c r="J25" i="7"/>
  <c r="J39" i="7" s="1"/>
  <c r="J27" i="7"/>
  <c r="J41" i="7" s="1"/>
  <c r="K28" i="7"/>
  <c r="K26" i="7" s="1"/>
  <c r="K40" i="7" s="1"/>
  <c r="K216" i="3"/>
  <c r="L214" i="3" s="1"/>
  <c r="L216" i="3" s="1"/>
  <c r="L217" i="3" s="1"/>
  <c r="K155" i="3"/>
  <c r="K95" i="3"/>
  <c r="L95" i="3" s="1"/>
  <c r="L222" i="3"/>
  <c r="L224" i="3" s="1"/>
  <c r="K13" i="7"/>
  <c r="J61" i="7"/>
  <c r="K16" i="7"/>
  <c r="K33" i="7" s="1"/>
  <c r="K17" i="7"/>
  <c r="K34" i="7" s="1"/>
  <c r="L19" i="7"/>
  <c r="K18" i="7"/>
  <c r="K35" i="7" s="1"/>
  <c r="I11" i="3"/>
  <c r="K45" i="7"/>
  <c r="J11" i="7"/>
  <c r="G54" i="3"/>
  <c r="K46" i="7"/>
  <c r="J12" i="7"/>
  <c r="H9" i="3" l="1"/>
  <c r="H11" i="3" s="1"/>
  <c r="H42" i="3" s="1"/>
  <c r="H31" i="7"/>
  <c r="J9" i="3"/>
  <c r="J31" i="7"/>
  <c r="G17" i="3"/>
  <c r="G20" i="3" s="1"/>
  <c r="G42" i="3"/>
  <c r="G81" i="3"/>
  <c r="G10" i="6"/>
  <c r="G93" i="3"/>
  <c r="G15" i="3"/>
  <c r="G16" i="3"/>
  <c r="I31" i="7"/>
  <c r="J10" i="3"/>
  <c r="J11" i="3" s="1"/>
  <c r="J18" i="3" s="1"/>
  <c r="J32" i="7"/>
  <c r="H19" i="3"/>
  <c r="H47" i="3" s="1"/>
  <c r="H10" i="6"/>
  <c r="H12" i="6" s="1"/>
  <c r="H144" i="3" s="1"/>
  <c r="E17" i="16" s="1"/>
  <c r="G80" i="3"/>
  <c r="M80" i="3" s="1"/>
  <c r="G90" i="3"/>
  <c r="M90" i="3" s="1"/>
  <c r="K22" i="7"/>
  <c r="K36" i="7" s="1"/>
  <c r="K217" i="3"/>
  <c r="K218" i="3" s="1"/>
  <c r="K24" i="7"/>
  <c r="K38" i="7" s="1"/>
  <c r="K25" i="7"/>
  <c r="K39" i="7" s="1"/>
  <c r="K23" i="7"/>
  <c r="K37" i="7" s="1"/>
  <c r="L28" i="7"/>
  <c r="L25" i="7" s="1"/>
  <c r="K27" i="7"/>
  <c r="K41" i="7" s="1"/>
  <c r="L225" i="3"/>
  <c r="L226" i="3" s="1"/>
  <c r="L228" i="3" s="1"/>
  <c r="L201" i="3"/>
  <c r="L150" i="3" s="1"/>
  <c r="L13" i="7"/>
  <c r="L61" i="7" s="1"/>
  <c r="K61" i="7"/>
  <c r="I81" i="3"/>
  <c r="I93" i="3"/>
  <c r="L45" i="7"/>
  <c r="K11" i="7"/>
  <c r="L17" i="7"/>
  <c r="L34" i="7" s="1"/>
  <c r="L18" i="7"/>
  <c r="L35" i="7" s="1"/>
  <c r="L16" i="7"/>
  <c r="L33" i="7" s="1"/>
  <c r="L46" i="7"/>
  <c r="K12" i="7"/>
  <c r="I12" i="3"/>
  <c r="I10" i="6"/>
  <c r="I17" i="3"/>
  <c r="I15" i="3"/>
  <c r="I16" i="3"/>
  <c r="I19" i="3"/>
  <c r="I47" i="3" s="1"/>
  <c r="I18" i="3"/>
  <c r="G21" i="3" l="1"/>
  <c r="G45" i="3" s="1"/>
  <c r="G48" i="3"/>
  <c r="G130" i="3" s="1"/>
  <c r="G103" i="3" s="1"/>
  <c r="G92" i="3"/>
  <c r="M92" i="3" s="1"/>
  <c r="M93" i="3"/>
  <c r="G139" i="3"/>
  <c r="H16" i="3"/>
  <c r="H18" i="3"/>
  <c r="G12" i="6"/>
  <c r="G29" i="6"/>
  <c r="K9" i="3"/>
  <c r="K31" i="7"/>
  <c r="H15" i="3"/>
  <c r="H81" i="3"/>
  <c r="H136" i="3" s="1"/>
  <c r="H17" i="3"/>
  <c r="G136" i="3"/>
  <c r="M81" i="3"/>
  <c r="I42" i="3"/>
  <c r="K10" i="3"/>
  <c r="K32" i="7"/>
  <c r="L39" i="7"/>
  <c r="H12" i="3"/>
  <c r="H80" i="3" s="1"/>
  <c r="H93" i="3"/>
  <c r="H139" i="3" s="1"/>
  <c r="K19" i="6"/>
  <c r="J19" i="6"/>
  <c r="H66" i="3"/>
  <c r="H145" i="3"/>
  <c r="L19" i="6"/>
  <c r="G135" i="3"/>
  <c r="H13" i="3"/>
  <c r="H54" i="3" s="1"/>
  <c r="H19" i="6"/>
  <c r="H90" i="3"/>
  <c r="H137" i="3" s="1"/>
  <c r="I19" i="6"/>
  <c r="H29" i="6"/>
  <c r="H135" i="3"/>
  <c r="G137" i="3"/>
  <c r="G138" i="3"/>
  <c r="L24" i="7"/>
  <c r="L38" i="7" s="1"/>
  <c r="L23" i="7"/>
  <c r="L37" i="7" s="1"/>
  <c r="L26" i="7"/>
  <c r="L40" i="7" s="1"/>
  <c r="L22" i="7"/>
  <c r="L36" i="7" s="1"/>
  <c r="L27" i="7"/>
  <c r="L41" i="7" s="1"/>
  <c r="G60" i="3"/>
  <c r="L155" i="3"/>
  <c r="L96" i="3"/>
  <c r="L12" i="7"/>
  <c r="L11" i="7"/>
  <c r="J17" i="3"/>
  <c r="J12" i="3"/>
  <c r="J80" i="3" s="1"/>
  <c r="J15" i="3"/>
  <c r="J42" i="3"/>
  <c r="J16" i="3"/>
  <c r="J10" i="6"/>
  <c r="J29" i="6" s="1"/>
  <c r="J93" i="3"/>
  <c r="J139" i="3" s="1"/>
  <c r="J19" i="3"/>
  <c r="J47" i="3" s="1"/>
  <c r="J81" i="3"/>
  <c r="J136" i="3" s="1"/>
  <c r="I13" i="3"/>
  <c r="I54" i="3" s="1"/>
  <c r="I90" i="3"/>
  <c r="I80" i="3"/>
  <c r="M94" i="3"/>
  <c r="I136" i="3"/>
  <c r="I20" i="3"/>
  <c r="I12" i="6"/>
  <c r="I144" i="3" s="1"/>
  <c r="F17" i="16" s="1"/>
  <c r="I29" i="6"/>
  <c r="K11" i="3"/>
  <c r="G144" i="3" l="1"/>
  <c r="J18" i="6"/>
  <c r="G18" i="6"/>
  <c r="G24" i="6" s="1"/>
  <c r="H18" i="6"/>
  <c r="H24" i="6" s="1"/>
  <c r="K18" i="6"/>
  <c r="I18" i="6"/>
  <c r="L18" i="6"/>
  <c r="L10" i="3"/>
  <c r="L32" i="7"/>
  <c r="I139" i="3"/>
  <c r="H20" i="3"/>
  <c r="L9" i="3"/>
  <c r="L31" i="7"/>
  <c r="G140" i="3"/>
  <c r="D16" i="16" s="1"/>
  <c r="I92" i="3"/>
  <c r="I48" i="3"/>
  <c r="I130" i="3" s="1"/>
  <c r="L11" i="3"/>
  <c r="L81" i="3" s="1"/>
  <c r="J90" i="3"/>
  <c r="J137" i="3" s="1"/>
  <c r="J13" i="3"/>
  <c r="J54" i="3" s="1"/>
  <c r="J20" i="3"/>
  <c r="J12" i="6"/>
  <c r="J144" i="3" s="1"/>
  <c r="I21" i="3"/>
  <c r="I145" i="3"/>
  <c r="I66" i="3"/>
  <c r="J135" i="3"/>
  <c r="I135" i="3"/>
  <c r="K81" i="3"/>
  <c r="K93" i="3"/>
  <c r="K139" i="3" s="1"/>
  <c r="I137" i="3"/>
  <c r="I20" i="6"/>
  <c r="I24" i="6" s="1"/>
  <c r="I127" i="3" s="1"/>
  <c r="I129" i="3" s="1"/>
  <c r="J20" i="6"/>
  <c r="K20" i="6"/>
  <c r="L20" i="6"/>
  <c r="K10" i="6"/>
  <c r="K12" i="3"/>
  <c r="K16" i="3"/>
  <c r="K42" i="3"/>
  <c r="K15" i="3"/>
  <c r="K17" i="3"/>
  <c r="K19" i="3"/>
  <c r="K47" i="3" s="1"/>
  <c r="K18" i="3"/>
  <c r="H127" i="3" l="1"/>
  <c r="H129" i="3" s="1"/>
  <c r="H31" i="6"/>
  <c r="H25" i="6"/>
  <c r="H48" i="3"/>
  <c r="H130" i="3" s="1"/>
  <c r="H103" i="3" s="1"/>
  <c r="I103" i="3" s="1"/>
  <c r="H92" i="3"/>
  <c r="H138" i="3" s="1"/>
  <c r="H140" i="3" s="1"/>
  <c r="E16" i="16" s="1"/>
  <c r="G127" i="3"/>
  <c r="G31" i="6"/>
  <c r="G25" i="6"/>
  <c r="I138" i="3"/>
  <c r="H21" i="3"/>
  <c r="H45" i="3" s="1"/>
  <c r="D17" i="16"/>
  <c r="G66" i="3"/>
  <c r="G145" i="3"/>
  <c r="H60" i="3"/>
  <c r="J66" i="3"/>
  <c r="G17" i="16"/>
  <c r="L17" i="3"/>
  <c r="L15" i="3"/>
  <c r="J92" i="3"/>
  <c r="J138" i="3" s="1"/>
  <c r="J140" i="3" s="1"/>
  <c r="G16" i="16" s="1"/>
  <c r="J48" i="3"/>
  <c r="J130" i="3" s="1"/>
  <c r="L42" i="3"/>
  <c r="L93" i="3"/>
  <c r="L139" i="3" s="1"/>
  <c r="L19" i="3"/>
  <c r="L47" i="3" s="1"/>
  <c r="L12" i="3"/>
  <c r="L13" i="3" s="1"/>
  <c r="L54" i="3" s="1"/>
  <c r="L16" i="3"/>
  <c r="L10" i="6"/>
  <c r="L29" i="6" s="1"/>
  <c r="L18" i="3"/>
  <c r="J21" i="6"/>
  <c r="J24" i="6" s="1"/>
  <c r="J127" i="3" s="1"/>
  <c r="J129" i="3" s="1"/>
  <c r="K21" i="6"/>
  <c r="J145" i="3"/>
  <c r="L21" i="6"/>
  <c r="J21" i="3"/>
  <c r="I60" i="3"/>
  <c r="I45" i="3"/>
  <c r="L136" i="3"/>
  <c r="K136" i="3"/>
  <c r="K13" i="3"/>
  <c r="K54" i="3" s="1"/>
  <c r="K80" i="3"/>
  <c r="K90" i="3"/>
  <c r="I140" i="3"/>
  <c r="F16" i="16" s="1"/>
  <c r="K20" i="3"/>
  <c r="K48" i="3" s="1"/>
  <c r="K130" i="3" s="1"/>
  <c r="H32" i="6"/>
  <c r="H44" i="3"/>
  <c r="E11" i="16" s="1"/>
  <c r="E15" i="16" s="1"/>
  <c r="K29" i="6"/>
  <c r="K12" i="6"/>
  <c r="K144" i="3" s="1"/>
  <c r="H17" i="16" s="1"/>
  <c r="I31" i="6"/>
  <c r="I25" i="6"/>
  <c r="G32" i="6" l="1"/>
  <c r="G44" i="3"/>
  <c r="G83" i="3"/>
  <c r="H83" i="3" s="1"/>
  <c r="I83" i="3" s="1"/>
  <c r="G129" i="3"/>
  <c r="J103" i="3"/>
  <c r="K103" i="3" s="1"/>
  <c r="L12" i="6"/>
  <c r="L23" i="6" s="1"/>
  <c r="L20" i="3"/>
  <c r="L92" i="3" s="1"/>
  <c r="L90" i="3"/>
  <c r="L137" i="3" s="1"/>
  <c r="L80" i="3"/>
  <c r="L135" i="3" s="1"/>
  <c r="J60" i="3"/>
  <c r="J45" i="3"/>
  <c r="J83" i="3"/>
  <c r="K21" i="3"/>
  <c r="K92" i="3"/>
  <c r="K138" i="3" s="1"/>
  <c r="K135" i="3"/>
  <c r="K145" i="3"/>
  <c r="K66" i="3"/>
  <c r="K137" i="3"/>
  <c r="K22" i="6"/>
  <c r="K24" i="6" s="1"/>
  <c r="K127" i="3" s="1"/>
  <c r="K129" i="3" s="1"/>
  <c r="L22" i="6"/>
  <c r="H64" i="3"/>
  <c r="H46" i="3"/>
  <c r="E10" i="16" s="1"/>
  <c r="E12" i="16" s="1"/>
  <c r="I32" i="6"/>
  <c r="I44" i="3"/>
  <c r="F11" i="16" s="1"/>
  <c r="F15" i="16" s="1"/>
  <c r="J25" i="6"/>
  <c r="J31" i="6"/>
  <c r="D11" i="16" l="1"/>
  <c r="D15" i="16" s="1"/>
  <c r="G64" i="3"/>
  <c r="G46" i="3"/>
  <c r="E13" i="16"/>
  <c r="E14" i="16" s="1"/>
  <c r="E18" i="16" s="1"/>
  <c r="E22" i="16" s="1"/>
  <c r="L144" i="3"/>
  <c r="L21" i="3"/>
  <c r="L60" i="3" s="1"/>
  <c r="L48" i="3"/>
  <c r="L130" i="3" s="1"/>
  <c r="L103" i="3" s="1"/>
  <c r="L24" i="6"/>
  <c r="L127" i="3" s="1"/>
  <c r="L129" i="3" s="1"/>
  <c r="H67" i="3"/>
  <c r="H49" i="3"/>
  <c r="H68" i="3" s="1"/>
  <c r="K60" i="3"/>
  <c r="K45" i="3"/>
  <c r="K83" i="3"/>
  <c r="K140" i="3"/>
  <c r="H16" i="16" s="1"/>
  <c r="L138" i="3"/>
  <c r="L140" i="3" s="1"/>
  <c r="I16" i="16" s="1"/>
  <c r="J32" i="6"/>
  <c r="J44" i="3"/>
  <c r="G11" i="16" s="1"/>
  <c r="G15" i="16" s="1"/>
  <c r="I64" i="3"/>
  <c r="I46" i="3"/>
  <c r="F10" i="16" s="1"/>
  <c r="F12" i="16" s="1"/>
  <c r="K25" i="6"/>
  <c r="K31" i="6"/>
  <c r="D10" i="16" l="1"/>
  <c r="D12" i="16" s="1"/>
  <c r="D13" i="16" s="1"/>
  <c r="D14" i="16" s="1"/>
  <c r="D18" i="16" s="1"/>
  <c r="D22" i="16" s="1"/>
  <c r="G67" i="3"/>
  <c r="G49" i="3"/>
  <c r="G68" i="3" s="1"/>
  <c r="F13" i="16"/>
  <c r="F14" i="16" s="1"/>
  <c r="F18" i="16" s="1"/>
  <c r="L145" i="3"/>
  <c r="I17" i="16"/>
  <c r="L45" i="3"/>
  <c r="L25" i="6"/>
  <c r="L66" i="3"/>
  <c r="L31" i="6"/>
  <c r="L32" i="6" s="1"/>
  <c r="L83" i="3"/>
  <c r="I67" i="3"/>
  <c r="I49" i="3"/>
  <c r="I68" i="3" s="1"/>
  <c r="N140" i="3"/>
  <c r="J64" i="3"/>
  <c r="J46" i="3"/>
  <c r="G10" i="16" s="1"/>
  <c r="G12" i="16" s="1"/>
  <c r="K32" i="6"/>
  <c r="K44" i="3"/>
  <c r="H11" i="16" s="1"/>
  <c r="H15" i="16" s="1"/>
  <c r="F22" i="16" l="1"/>
  <c r="G13" i="16"/>
  <c r="G14" i="16" s="1"/>
  <c r="G18" i="16" s="1"/>
  <c r="L44" i="3"/>
  <c r="J67" i="3"/>
  <c r="J49" i="3"/>
  <c r="J68" i="3" s="1"/>
  <c r="I193" i="3"/>
  <c r="L193" i="3"/>
  <c r="J193" i="3"/>
  <c r="K193" i="3"/>
  <c r="G193" i="3"/>
  <c r="H193" i="3"/>
  <c r="K64" i="3"/>
  <c r="K46" i="3"/>
  <c r="H10" i="16" s="1"/>
  <c r="H12" i="16" s="1"/>
  <c r="G22" i="16" l="1"/>
  <c r="H13" i="16"/>
  <c r="H14" i="16" s="1"/>
  <c r="H18" i="16" s="1"/>
  <c r="H22" i="16" s="1"/>
  <c r="L64" i="3"/>
  <c r="I11" i="16"/>
  <c r="I15" i="16" s="1"/>
  <c r="L46" i="3"/>
  <c r="K67" i="3"/>
  <c r="K49" i="3"/>
  <c r="K68" i="3" s="1"/>
  <c r="L67" i="3" l="1"/>
  <c r="I10" i="16"/>
  <c r="L49" i="3"/>
  <c r="C31" i="16" l="1"/>
  <c r="C33" i="16" s="1"/>
  <c r="C36" i="16" s="1"/>
  <c r="I12" i="16"/>
  <c r="E79" i="16"/>
  <c r="I13" i="16" l="1"/>
  <c r="I14" i="16" s="1"/>
  <c r="I18" i="16" s="1"/>
  <c r="C50" i="16" l="1"/>
  <c r="C52" i="16" s="1"/>
  <c r="C55" i="16" s="1"/>
  <c r="I22" i="16"/>
  <c r="C24" i="16" s="1"/>
  <c r="C25" i="16"/>
  <c r="D25" i="16" l="1"/>
  <c r="C37" i="16"/>
  <c r="C38" i="16" s="1"/>
  <c r="C43" i="16" s="1"/>
  <c r="C45" i="16" s="1"/>
  <c r="E32" i="16" s="1"/>
  <c r="C56" i="16"/>
  <c r="C57" i="16" s="1"/>
  <c r="C62" i="16" s="1"/>
  <c r="C64" i="16" s="1"/>
  <c r="E51" i="16" s="1"/>
  <c r="M24" i="11" l="1"/>
  <c r="G23" i="3"/>
  <c r="H23" i="3"/>
  <c r="I23" i="3"/>
  <c r="J23" i="3"/>
  <c r="K23" i="3"/>
  <c r="L23" i="3"/>
  <c r="G24" i="3"/>
  <c r="H24" i="3"/>
  <c r="I24" i="3"/>
  <c r="J24" i="3"/>
  <c r="K24" i="3"/>
  <c r="L24" i="3"/>
  <c r="G26" i="3"/>
  <c r="H26" i="3"/>
  <c r="I26" i="3"/>
  <c r="J26" i="3"/>
  <c r="K26" i="3"/>
  <c r="L26" i="3"/>
  <c r="G28" i="3"/>
  <c r="H28" i="3"/>
  <c r="I28" i="3"/>
  <c r="J28" i="3"/>
  <c r="K28" i="3"/>
  <c r="L28" i="3"/>
  <c r="G29" i="3"/>
  <c r="H29" i="3"/>
  <c r="I29" i="3"/>
  <c r="J29" i="3"/>
  <c r="K29" i="3"/>
  <c r="L29" i="3"/>
  <c r="G31" i="3"/>
  <c r="H31" i="3"/>
  <c r="I31" i="3"/>
  <c r="J31" i="3"/>
  <c r="K31" i="3"/>
  <c r="L31" i="3"/>
  <c r="G33" i="3"/>
  <c r="H33" i="3"/>
  <c r="I33" i="3"/>
  <c r="J33" i="3"/>
  <c r="K33" i="3"/>
  <c r="L33" i="3"/>
  <c r="G34" i="3"/>
  <c r="H34" i="3"/>
  <c r="I34" i="3"/>
  <c r="J34" i="3"/>
  <c r="K34" i="3"/>
  <c r="L34" i="3"/>
  <c r="G36" i="3"/>
  <c r="H36" i="3"/>
  <c r="I36" i="3"/>
  <c r="J36" i="3"/>
  <c r="K36" i="3"/>
  <c r="L36" i="3"/>
  <c r="G63" i="3"/>
  <c r="H63" i="3"/>
  <c r="I63" i="3"/>
  <c r="J63" i="3"/>
  <c r="K63" i="3"/>
  <c r="L63" i="3"/>
  <c r="G78" i="3"/>
  <c r="H78" i="3"/>
  <c r="I78" i="3"/>
  <c r="J78" i="3"/>
  <c r="K78" i="3"/>
  <c r="L78" i="3"/>
  <c r="G82" i="3"/>
  <c r="H82" i="3"/>
  <c r="I82" i="3"/>
  <c r="J82" i="3"/>
  <c r="K82" i="3"/>
  <c r="L82" i="3"/>
  <c r="G87" i="3"/>
  <c r="H87" i="3"/>
  <c r="I87" i="3"/>
  <c r="J87" i="3"/>
  <c r="K87" i="3"/>
  <c r="L87" i="3"/>
  <c r="G91" i="3"/>
  <c r="H91" i="3"/>
  <c r="I91" i="3"/>
  <c r="J91" i="3"/>
  <c r="K91" i="3"/>
  <c r="L91" i="3"/>
  <c r="G94" i="3"/>
  <c r="H94" i="3"/>
  <c r="I94" i="3"/>
  <c r="J94" i="3"/>
  <c r="K94" i="3"/>
  <c r="L94" i="3"/>
  <c r="G98" i="3"/>
  <c r="H98" i="3"/>
  <c r="I98" i="3"/>
  <c r="J98" i="3"/>
  <c r="K98" i="3"/>
  <c r="L98" i="3"/>
  <c r="G105" i="3"/>
  <c r="H105" i="3"/>
  <c r="I105" i="3"/>
  <c r="J105" i="3"/>
  <c r="K105" i="3"/>
  <c r="L105" i="3"/>
  <c r="G106" i="3"/>
  <c r="H106" i="3"/>
  <c r="I106" i="3"/>
  <c r="J106" i="3"/>
  <c r="K106" i="3"/>
  <c r="L106" i="3"/>
  <c r="G107" i="3"/>
  <c r="H107" i="3"/>
  <c r="I107" i="3"/>
  <c r="J107" i="3"/>
  <c r="K107" i="3"/>
  <c r="L107" i="3"/>
  <c r="G109" i="3"/>
  <c r="H109" i="3"/>
  <c r="I109" i="3"/>
  <c r="J109" i="3"/>
  <c r="K109" i="3"/>
  <c r="L109" i="3"/>
  <c r="G110" i="3"/>
  <c r="H110" i="3"/>
  <c r="I110" i="3"/>
  <c r="J110" i="3"/>
  <c r="K110" i="3"/>
  <c r="L110" i="3"/>
  <c r="G126" i="3"/>
  <c r="H126" i="3"/>
  <c r="I126" i="3"/>
  <c r="J126" i="3"/>
  <c r="K126" i="3"/>
  <c r="L126" i="3"/>
  <c r="G141" i="3"/>
  <c r="H141" i="3"/>
  <c r="I141" i="3"/>
  <c r="J141" i="3"/>
  <c r="K141" i="3"/>
  <c r="L141" i="3"/>
  <c r="G148" i="3"/>
  <c r="G155" i="3"/>
  <c r="G159" i="3"/>
  <c r="H159" i="3"/>
  <c r="I159" i="3"/>
  <c r="J159" i="3"/>
  <c r="K159" i="3"/>
  <c r="L159" i="3"/>
  <c r="G161" i="3"/>
  <c r="H161" i="3"/>
  <c r="I161" i="3"/>
  <c r="J161" i="3"/>
  <c r="K161" i="3"/>
  <c r="L161" i="3"/>
  <c r="G162" i="3"/>
  <c r="H162" i="3"/>
  <c r="I162" i="3"/>
  <c r="J162" i="3"/>
  <c r="K162" i="3"/>
  <c r="L162" i="3"/>
  <c r="G164" i="3"/>
  <c r="H164" i="3"/>
  <c r="I164" i="3"/>
  <c r="J164" i="3"/>
  <c r="K164" i="3"/>
  <c r="L164" i="3"/>
  <c r="H191" i="3"/>
  <c r="I191" i="3"/>
  <c r="J191" i="3"/>
  <c r="K191" i="3"/>
  <c r="L191" i="3"/>
  <c r="G192" i="3"/>
  <c r="H192" i="3"/>
  <c r="I192" i="3"/>
  <c r="J192" i="3"/>
  <c r="K192" i="3"/>
  <c r="L192" i="3"/>
  <c r="G196" i="3"/>
  <c r="H196" i="3"/>
  <c r="I196" i="3"/>
  <c r="J196" i="3"/>
  <c r="K196" i="3"/>
  <c r="L196" i="3"/>
  <c r="G197" i="3"/>
  <c r="H197" i="3"/>
  <c r="I197" i="3"/>
  <c r="J197" i="3"/>
  <c r="K197" i="3"/>
  <c r="L197" i="3"/>
  <c r="G198" i="3"/>
  <c r="H198" i="3"/>
  <c r="I198" i="3"/>
  <c r="J198" i="3"/>
  <c r="K198" i="3"/>
  <c r="L198" i="3"/>
  <c r="G200" i="3"/>
  <c r="H200" i="3"/>
  <c r="I200" i="3"/>
  <c r="J200" i="3"/>
  <c r="K200" i="3"/>
  <c r="L200" i="3"/>
  <c r="G202" i="3"/>
  <c r="H202" i="3"/>
  <c r="I202" i="3"/>
  <c r="J202" i="3"/>
  <c r="K202" i="3"/>
  <c r="L202" i="3"/>
  <c r="H205" i="3"/>
  <c r="I205" i="3"/>
  <c r="J205" i="3"/>
  <c r="K205" i="3"/>
  <c r="L205" i="3"/>
  <c r="G206" i="3"/>
  <c r="H206" i="3"/>
  <c r="I206" i="3"/>
  <c r="J206" i="3"/>
  <c r="K206" i="3"/>
  <c r="L206" i="3"/>
  <c r="G207" i="3"/>
  <c r="H207" i="3"/>
  <c r="I207" i="3"/>
  <c r="J207" i="3"/>
  <c r="K207" i="3"/>
  <c r="L207" i="3"/>
  <c r="G208" i="3"/>
  <c r="H208" i="3"/>
  <c r="I208" i="3"/>
  <c r="J208" i="3"/>
  <c r="K208" i="3"/>
  <c r="L208" i="3"/>
  <c r="G209" i="3"/>
  <c r="H209" i="3"/>
  <c r="I209" i="3"/>
  <c r="J209" i="3"/>
  <c r="K209" i="3"/>
  <c r="L209" i="3"/>
  <c r="G211" i="3"/>
  <c r="H211" i="3"/>
  <c r="I211" i="3"/>
  <c r="J211" i="3"/>
  <c r="K211" i="3"/>
  <c r="L211" i="3"/>
  <c r="H231" i="3"/>
  <c r="I231" i="3"/>
  <c r="J231" i="3"/>
  <c r="K231" i="3"/>
  <c r="L231" i="3"/>
  <c r="G232" i="3"/>
  <c r="H232" i="3"/>
  <c r="I232" i="3"/>
  <c r="J232" i="3"/>
  <c r="K232" i="3"/>
  <c r="L232" i="3"/>
  <c r="G233" i="3"/>
  <c r="H233" i="3"/>
  <c r="I233" i="3"/>
  <c r="J233" i="3"/>
  <c r="K233" i="3"/>
  <c r="L233" i="3"/>
  <c r="G235" i="3"/>
  <c r="H235" i="3"/>
  <c r="I235" i="3"/>
  <c r="J235" i="3"/>
  <c r="K235" i="3"/>
  <c r="L235" i="3"/>
  <c r="G236" i="3"/>
  <c r="H236" i="3"/>
  <c r="I236" i="3"/>
  <c r="J236" i="3"/>
  <c r="K236" i="3"/>
  <c r="L236" i="3"/>
  <c r="G238" i="3"/>
  <c r="H238" i="3"/>
  <c r="I238" i="3"/>
  <c r="J238" i="3"/>
  <c r="K238" i="3"/>
  <c r="L238" i="3"/>
  <c r="G242" i="3"/>
  <c r="H242" i="3"/>
  <c r="I242" i="3"/>
  <c r="J242" i="3"/>
  <c r="K242" i="3"/>
  <c r="L242" i="3"/>
  <c r="G243" i="3"/>
  <c r="H243" i="3"/>
  <c r="I243" i="3"/>
  <c r="J243" i="3"/>
  <c r="K243" i="3"/>
  <c r="L24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C4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and margins
and D&amp;A 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romero</author>
  </authors>
  <commentList>
    <comment ref="C40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luis romero:</t>
        </r>
        <r>
          <rPr>
            <sz val="9"/>
            <color indexed="81"/>
            <rFont val="Tahoma"/>
            <family val="2"/>
          </rPr>
          <t xml:space="preserve">
Page 98</t>
        </r>
      </text>
    </comment>
    <comment ref="C43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luis romero:</t>
        </r>
        <r>
          <rPr>
            <sz val="9"/>
            <color indexed="81"/>
            <rFont val="Tahoma"/>
            <family val="2"/>
          </rPr>
          <t xml:space="preserve">
Page 41.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F21" authorId="0" shapeId="0" xr:uid="{00000000-0006-0000-0C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finance</t>
        </r>
      </text>
    </comment>
    <comment ref="F22" authorId="0" shapeId="0" xr:uid="{00000000-0006-0000-0C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10Q 2022
first page
508,720,481 shares of common stock, par value $0.01 per share, outstanding as of April 20, 2022. </t>
        </r>
        <r>
          <rPr>
            <b/>
            <sz val="9"/>
            <color indexed="81"/>
            <rFont val="Segoe UI"/>
            <family val="2"/>
          </rPr>
          <t>UPDATE: 10,187,554,818 shares of common stock, par value $0.01 per share, outstanding as of July 20, 2022.</t>
        </r>
      </text>
    </comment>
    <comment ref="F28" authorId="0" shapeId="0" xr:uid="{00000000-0006-0000-0C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MOST RECENT DOC
10Q PG 6</t>
        </r>
      </text>
    </comment>
    <comment ref="F33" authorId="0" shapeId="0" xr:uid="{00000000-0006-0000-0C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most recent document
10Q pag: 6
B.S. cash &amp; cash equivalents;
marketable securities
check with yahoo finance -&gt; statistics -&gt; total cash (B.S.)</t>
        </r>
      </text>
    </comment>
    <comment ref="C40" authorId="0" shapeId="0" xr:uid="{00000000-0006-0000-0C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there are 2 types of options price
1 - exercised price
2 - restricted price (which is the case here)</t>
        </r>
      </text>
    </comment>
    <comment ref="C41" authorId="0" shapeId="0" xr:uid="{00000000-0006-0000-0C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pag: 60
search: "outstanding as"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  <author>luis romero</author>
  </authors>
  <commentList>
    <comment ref="D13" authorId="0" shapeId="0" xr:uid="{00000000-0006-0000-0D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assumption that each year the Co. is gonna pay this amount in the form os taxes</t>
        </r>
      </text>
    </comment>
    <comment ref="C22" authorId="0" shapeId="0" xr:uid="{00000000-0006-0000-0D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HARDCODE but it should be the same as the WACC DRIVER in this tab cell:C93</t>
        </r>
      </text>
    </comment>
    <comment ref="C31" authorId="0" shapeId="0" xr:uid="{00000000-0006-0000-0D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at the end of the period, some Co. can buy Amazon, what would be the multiple 5 years out?</t>
        </r>
      </text>
    </comment>
    <comment ref="C51" authorId="0" shapeId="0" xr:uid="{00000000-0006-0000-0D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whats the Co. is going to grow in the future for infinity
typically comes from the industry growth rate
overall for a mature industry = 1%
for ecommerce and high tech =3%
THIS number should be align with the inflation and can not be higher than the GDP</t>
        </r>
      </text>
    </comment>
    <comment ref="C70" authorId="0" shapeId="0" xr:uid="{00000000-0006-0000-0D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PRESTAR ATENCAO PQ NO MAIS RECENT 10Q O SHARES OUTSTANDING ESTAVAM NA CASA DOS 10 TRILHOES E NÃO 508</t>
        </r>
      </text>
    </comment>
    <comment ref="C83" authorId="0" shapeId="0" xr:uid="{00000000-0006-0000-0D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finance or
https://www.cnbc.com/bonds/</t>
        </r>
      </text>
    </comment>
    <comment ref="B84" authorId="0" shapeId="0" xr:uid="{00000000-0006-0000-0D00-000007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Igor Gonçalves:
how much i can generate from the market above the risk free rate</t>
        </r>
      </text>
    </comment>
    <comment ref="C85" authorId="0" shapeId="0" xr:uid="{00000000-0006-0000-0D00-000008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Here I used the average beta from the industry, which is pretty much the same as amazon has (1.5)</t>
        </r>
      </text>
    </comment>
    <comment ref="C86" authorId="1" shapeId="0" xr:uid="{00000000-0006-0000-0D00-000009000000}">
      <text>
        <r>
          <rPr>
            <b/>
            <sz val="9"/>
            <color indexed="81"/>
            <rFont val="Tahoma"/>
            <family val="2"/>
          </rPr>
          <t>Igor Guerreiro:</t>
        </r>
        <r>
          <rPr>
            <sz val="9"/>
            <color indexed="81"/>
            <rFont val="Tahoma"/>
            <family val="2"/>
          </rPr>
          <t xml:space="preserve">
Cost of Equity = Risk free rate + BETA* Equity risk premium</t>
        </r>
      </text>
    </comment>
    <comment ref="C91" authorId="1" shapeId="0" xr:uid="{00000000-0006-0000-0D00-00000A000000}">
      <text>
        <r>
          <rPr>
            <b/>
            <sz val="9"/>
            <color indexed="81"/>
            <rFont val="Tahoma"/>
            <family val="2"/>
          </rPr>
          <t>luis romero:</t>
        </r>
        <r>
          <rPr>
            <sz val="9"/>
            <color indexed="81"/>
            <rFont val="Tahoma"/>
            <family val="2"/>
          </rPr>
          <t xml:space="preserve">
WACC Equity weight * Cost of Equity + Debt weight * Cost of Debt * (1-tax)+ preferred rate</t>
        </r>
      </text>
    </comment>
    <comment ref="C93" authorId="0" shapeId="0" xr:uid="{00000000-0006-0000-0D00-00000B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we need to round the number because we need the whole number for sensitivity analysis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C4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 k 2019 pg. 57 
note 6 - debt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D42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280.522/232.887-1</t>
        </r>
      </text>
    </comment>
    <comment ref="D114" authorId="0" shapeId="0" xr:uid="{00000000-0006-0000-03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inventory/COGS *365</t>
        </r>
      </text>
    </comment>
    <comment ref="D115" authorId="0" shapeId="0" xr:uid="{00000000-0006-0000-03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account receivables/total revenue*365</t>
        </r>
      </text>
    </comment>
    <comment ref="D116" authorId="0" shapeId="0" xr:uid="{00000000-0006-0000-03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accoutns payable/COGS*365</t>
        </r>
      </text>
    </comment>
    <comment ref="D117" authorId="0" shapeId="0" xr:uid="{00000000-0006-0000-03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accrued expenses/ total operating expenses *365</t>
        </r>
      </text>
    </comment>
    <comment ref="D118" authorId="0" shapeId="0" xr:uid="{00000000-0006-0000-03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unearned revenue/total revenue</t>
        </r>
      </text>
    </comment>
    <comment ref="C131" authorId="0" shapeId="0" xr:uid="{00000000-0006-0000-0300-000007000000}">
      <text>
        <r>
          <rPr>
            <b/>
            <sz val="9"/>
            <color indexed="81"/>
            <rFont val="Segoe UI"/>
            <family val="2"/>
          </rPr>
          <t>Other operating expense (income), net, consists primarily of a benefit from accelerated vesting of warrants to acquire equity of a vendor in Q4 2020, offset by a lease impairment in Q2 2020 and the amortization of intangible assets.</t>
        </r>
      </text>
    </comment>
    <comment ref="C134" authorId="0" shapeId="0" xr:uid="{00000000-0006-0000-0300-000008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não preciso dos dados históricos aqui</t>
        </r>
      </text>
    </comment>
    <comment ref="C144" authorId="0" shapeId="0" xr:uid="{00000000-0006-0000-0300-000009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its a form of investment in the business operation to maintain their infrastructure --&gt; PP&amp;E (go to PP&amp;E and insert the number again)</t>
        </r>
      </text>
    </comment>
    <comment ref="C157" authorId="0" shapeId="0" xr:uid="{00000000-0006-0000-0300-00000A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:
se faz negócios apenas no país de origem não via ter essa linha</t>
        </r>
      </text>
    </comment>
    <comment ref="G184" authorId="0" shapeId="0" xr:uid="{00000000-0006-0000-0300-00000B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current stock price (yahoo finance) amazon</t>
        </r>
      </text>
    </comment>
    <comment ref="G210" authorId="0" shapeId="0" xr:uid="{00000000-0006-0000-0300-00000C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pg. 56 "which had a weighted-average interest rate of 3.0% and</t>
        </r>
      </text>
    </comment>
    <comment ref="C215" authorId="0" shapeId="0" xr:uid="{00000000-0006-0000-0300-00000D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found just in the 10k 2020 pag. 58</t>
        </r>
      </text>
    </comment>
    <comment ref="F216" authorId="0" shapeId="0" xr:uid="{00000000-0006-0000-0300-00000E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it has to be the same amount on the 10k pag. </t>
        </r>
      </text>
    </comment>
    <comment ref="G219" authorId="0" shapeId="0" xr:uid="{00000000-0006-0000-0300-00000F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pg. 57 financing obligations, including interest</t>
        </r>
      </text>
    </comment>
    <comment ref="G224" authorId="0" shapeId="0" xr:uid="{00000000-0006-0000-0300-000010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pag. 56 -&gt; note 6. debt</t>
        </r>
      </text>
    </comment>
    <comment ref="E228" authorId="0" shapeId="0" xr:uid="{00000000-0006-0000-0300-00001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mudei o numero para positivo (pq depois vou usar no Income st. Interest expense)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G23" authorId="0" shapeId="0" xr:uid="{00000000-0006-0000-04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assumption (posso criar qlq coisa aqui)</t>
        </r>
      </text>
    </comment>
    <comment ref="G29" authorId="0" shapeId="0" xr:uid="{00000000-0006-0000-04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assumption based on me</t>
        </r>
      </text>
    </comment>
    <comment ref="C44" authorId="0" shapeId="0" xr:uid="{00000000-0006-0000-04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colocando uma abordagem mais científica eu poderia: 
1 - what is the actually number of online traffic? And what is that increasing?
2 - what percentage of online traffic goes to amazon?
3 - what is the average amount of money a customer spends on amazon?
----------------------OR-------------------
1 - amount of online traffic the amazon generates on a daily/weekly/monthly or weekly basis
2 -what is the convertion rate of the amount traffic amazon receives?
3 - if the convertion rate is 5% annully, take the revenue e divide by this rate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C15" authorId="0" shapeId="0" xr:uid="{00000000-0006-0000-05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pg. 23 ou 10k pg 65</t>
        </r>
      </text>
    </comment>
    <comment ref="C21" authorId="0" shapeId="0" xr:uid="{00000000-0006-0000-05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pg 65</t>
        </r>
      </text>
    </comment>
    <comment ref="D30" authorId="0" shapeId="0" xr:uid="{00000000-0006-0000-05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hardoce
i copied from the other amazon DCF ive made</t>
        </r>
      </text>
    </comment>
    <comment ref="F59" authorId="0" shapeId="0" xr:uid="{00000000-0006-0000-05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internet --&gt; google
https://www.digitalcommerce360.com/article/us-ecommerce-sales/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D12" authorId="0" shapeId="0" xr:uid="{00000000-0006-0000-06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 want to be hould numbers (positive numbers)</t>
        </r>
      </text>
    </comment>
    <comment ref="C14" authorId="0" shapeId="0" xr:uid="{00000000-0006-0000-06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pg. 46
depreciation and amortization is recorded on a straight-time basis</t>
        </r>
      </text>
    </comment>
    <comment ref="M15" authorId="0" shapeId="0" xr:uid="{00000000-0006-0000-06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allow me to massage my CapEx Years
</t>
        </r>
      </text>
    </comment>
    <comment ref="G18" authorId="0" shapeId="0" xr:uid="{00000000-0006-0000-06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dont forget to anchor the cell H9
</t>
        </r>
      </text>
    </comment>
    <comment ref="C28" authorId="0" shapeId="0" xr:uid="{00000000-0006-0000-06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has to deal with INTANGIBLE ASSETS</t>
        </r>
      </text>
    </comment>
    <comment ref="D28" authorId="0" shapeId="0" xr:uid="{00000000-0006-0000-06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10k pag 55
amortization expense for acquired finite-lived intangible was</t>
        </r>
      </text>
    </comment>
    <comment ref="G39" authorId="0" shapeId="0" xr:uid="{00000000-0006-0000-0600-000007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romero mentoring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D23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>Igor Gonçalves:
G.S. estimates</t>
        </r>
      </text>
    </comment>
    <comment ref="E23" authorId="0" shapeId="0" xr:uid="{00000000-0006-0000-07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F23" authorId="0" shapeId="0" xr:uid="{00000000-0006-0000-07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D24" authorId="0" shapeId="0" xr:uid="{00000000-0006-0000-07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goldman sachs estimates</t>
        </r>
      </text>
    </comment>
    <comment ref="E24" authorId="0" shapeId="0" xr:uid="{00000000-0006-0000-07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F24" authorId="0" shapeId="0" xr:uid="{00000000-0006-0000-07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D27" authorId="0" shapeId="0" xr:uid="{00000000-0006-0000-0700-000007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E27" authorId="0" shapeId="0" xr:uid="{00000000-0006-0000-0700-000008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F27" authorId="0" shapeId="0" xr:uid="{00000000-0006-0000-0700-000009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29" authorId="0" shapeId="0" xr:uid="{00000000-0006-0000-0700-00000A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gs estimates</t>
        </r>
      </text>
    </comment>
    <comment ref="E29" authorId="0" shapeId="0" xr:uid="{00000000-0006-0000-0700-00000B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gs estimates</t>
        </r>
      </text>
    </comment>
    <comment ref="F29" authorId="0" shapeId="0" xr:uid="{00000000-0006-0000-0700-00000C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gs estimates</t>
        </r>
      </text>
    </comment>
    <comment ref="D30" authorId="0" shapeId="0" xr:uid="{00000000-0006-0000-0700-00000D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E30" authorId="0" shapeId="0" xr:uid="{00000000-0006-0000-0700-00000E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F30" authorId="0" shapeId="0" xr:uid="{00000000-0006-0000-0700-00000F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D31" authorId="0" shapeId="0" xr:uid="{00000000-0006-0000-0700-000010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E31" authorId="0" shapeId="0" xr:uid="{00000000-0006-0000-0700-00001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F31" authorId="0" shapeId="0" xr:uid="{00000000-0006-0000-0700-00001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g.s. estimates</t>
        </r>
      </text>
    </comment>
    <comment ref="D41" authorId="0" shapeId="0" xr:uid="{00000000-0006-0000-0700-00001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morgan stanley estimates</t>
        </r>
      </text>
    </comment>
    <comment ref="E41" authorId="0" shapeId="0" xr:uid="{00000000-0006-0000-0700-00001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morgan stanley estimates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E7" authorId="0" shapeId="0" xr:uid="{00000000-0006-0000-09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= marketcap (yahoo finance)</t>
        </r>
      </text>
    </comment>
    <comment ref="M7" authorId="0" shapeId="0" xr:uid="{00000000-0006-0000-0900-000002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finance --&gt; analysis --&gt; earnings estimates --&gt;  growth rate between  next year and current year</t>
        </r>
      </text>
    </comment>
    <comment ref="O7" authorId="0" shapeId="0" xr:uid="{00000000-0006-0000-0900-000003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how much the co. are keeping for every dollar generated </t>
        </r>
      </text>
    </comment>
    <comment ref="S7" authorId="0" shapeId="0" xr:uid="{00000000-0006-0000-0900-000004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represents : how long the co. will take to pay down their debt</t>
        </r>
      </text>
    </comment>
    <comment ref="I8" authorId="0" shapeId="0" xr:uid="{00000000-0006-0000-0900-000005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enterprise value / revenue</t>
        </r>
      </text>
    </comment>
    <comment ref="J8" authorId="0" shapeId="0" xr:uid="{00000000-0006-0000-0900-000006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finance enterprise value/EBTIDA</t>
        </r>
      </text>
    </comment>
    <comment ref="K8" authorId="0" shapeId="0" xr:uid="{00000000-0006-0000-0900-000007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finaince trailing PE</t>
        </r>
      </text>
    </comment>
    <comment ref="O8" authorId="0" shapeId="0" xr:uid="{00000000-0006-0000-0900-000008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yahoo finance --&gt; statistics -&gt;  gross profit/revenue</t>
        </r>
      </text>
    </comment>
    <comment ref="P8" authorId="0" shapeId="0" xr:uid="{00000000-0006-0000-0900-000009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ebtida / revenue (ttm)</t>
        </r>
      </text>
    </comment>
    <comment ref="J14" authorId="0" shapeId="0" xr:uid="{00000000-0006-0000-0900-00000A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-24.49</t>
        </r>
      </text>
    </comment>
    <comment ref="J15" authorId="0" shapeId="0" xr:uid="{00000000-0006-0000-0900-00000B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-71.29</t>
        </r>
      </text>
    </comment>
    <comment ref="Q15" authorId="0" shapeId="0" xr:uid="{00000000-0006-0000-0900-00000C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-3.25</t>
        </r>
      </text>
    </comment>
    <comment ref="Q17" authorId="0" shapeId="0" xr:uid="{00000000-0006-0000-0900-00000D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-2.10</t>
        </r>
      </text>
    </comment>
    <comment ref="I24" authorId="0" shapeId="0" xr:uid="{00000000-0006-0000-0900-00000E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hardcode com o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Gonçalves</author>
  </authors>
  <commentList>
    <comment ref="J13" authorId="0" shapeId="0" xr:uid="{00000000-0006-0000-0A00-000001000000}">
      <text>
        <r>
          <rPr>
            <b/>
            <sz val="9"/>
            <color indexed="81"/>
            <rFont val="Segoe UI"/>
            <family val="2"/>
          </rPr>
          <t>Igor Gonçalves:</t>
        </r>
        <r>
          <rPr>
            <sz val="9"/>
            <color indexed="81"/>
            <rFont val="Segoe UI"/>
            <family val="2"/>
          </rPr>
          <t xml:space="preserve">
it needs to be a neg value because i'm gonna substract from the enterprise value later</t>
        </r>
      </text>
    </comment>
  </commentList>
</comments>
</file>

<file path=xl/sharedStrings.xml><?xml version="1.0" encoding="utf-8"?>
<sst xmlns="http://schemas.openxmlformats.org/spreadsheetml/2006/main" count="958" uniqueCount="605">
  <si>
    <t>Model Steps</t>
  </si>
  <si>
    <t>Working capital assumptions</t>
  </si>
  <si>
    <t>Forecast current assets &amp; liabilities</t>
  </si>
  <si>
    <t>Dividend payout ratio</t>
  </si>
  <si>
    <t>Shares repurchase</t>
  </si>
  <si>
    <t>Debt schedule</t>
  </si>
  <si>
    <t>Interest expense &amp; income</t>
  </si>
  <si>
    <t>Sanity check assumptions</t>
  </si>
  <si>
    <t>Scenarios</t>
  </si>
  <si>
    <t>Income Statement</t>
  </si>
  <si>
    <t>Balance Sheet</t>
  </si>
  <si>
    <t>Cash Flow Statement</t>
  </si>
  <si>
    <t>WACC</t>
  </si>
  <si>
    <t>Discounted Cash Flow Analysis</t>
  </si>
  <si>
    <t>Valuation Range</t>
  </si>
  <si>
    <t>Formulas</t>
  </si>
  <si>
    <t>Links</t>
  </si>
  <si>
    <t>External Links</t>
  </si>
  <si>
    <t>Adjust net change in cash &amp; equivalents with CF statement</t>
  </si>
  <si>
    <t>Reconcile the cash flow statement with your balance sheet</t>
  </si>
  <si>
    <t>Setting up your financial statements model format</t>
  </si>
  <si>
    <t>Depreciation &amp; amortization schedule</t>
  </si>
  <si>
    <t>Income statement projections</t>
  </si>
  <si>
    <t>FINANCIAL STATEMENTS MODEL</t>
  </si>
  <si>
    <t xml:space="preserve">COMPANY VALUATION </t>
  </si>
  <si>
    <t>Comparable Company Analysis</t>
  </si>
  <si>
    <t>Amazon.com, Inc. Financial Model</t>
  </si>
  <si>
    <t>Hardcode</t>
  </si>
  <si>
    <t>Supporting Schedules</t>
  </si>
  <si>
    <t>Football Field</t>
  </si>
  <si>
    <t>Year Ended December 31,</t>
  </si>
  <si>
    <t>Net product sales</t>
  </si>
  <si>
    <t>Net service sales</t>
  </si>
  <si>
    <t>Cost of sales</t>
  </si>
  <si>
    <t>Fulfillment</t>
  </si>
  <si>
    <t>Technology and content</t>
  </si>
  <si>
    <t>Marketing</t>
  </si>
  <si>
    <t>General and administrative</t>
  </si>
  <si>
    <t>Other operating expense (income), net</t>
  </si>
  <si>
    <t>Total operating expenses</t>
  </si>
  <si>
    <t>Interest income</t>
  </si>
  <si>
    <t>Interest expense</t>
  </si>
  <si>
    <t>Other income (expense), net</t>
  </si>
  <si>
    <t>Income before income taxes</t>
  </si>
  <si>
    <t>Equity-method investment activity, net of tax</t>
  </si>
  <si>
    <t>Net income</t>
  </si>
  <si>
    <t>Basic earnings per share</t>
  </si>
  <si>
    <t>Diluted earnings per share</t>
  </si>
  <si>
    <t>Basic</t>
  </si>
  <si>
    <t>Diluted</t>
  </si>
  <si>
    <t>Cash and cash equivalents</t>
  </si>
  <si>
    <t>Marketable securities</t>
  </si>
  <si>
    <t>Inventories</t>
  </si>
  <si>
    <t>Accounts receivable, net and other</t>
  </si>
  <si>
    <t>Total current assets</t>
  </si>
  <si>
    <t>Property and equipment, net</t>
  </si>
  <si>
    <t>Operating leases</t>
  </si>
  <si>
    <t>Goodwill</t>
  </si>
  <si>
    <t>Total assets</t>
  </si>
  <si>
    <t>Accounts payable</t>
  </si>
  <si>
    <t>Accrued expenses and other</t>
  </si>
  <si>
    <t>Unearned revenue</t>
  </si>
  <si>
    <t>Total current liabilities</t>
  </si>
  <si>
    <t>Long-term lease liabilities</t>
  </si>
  <si>
    <t>Long-term debt</t>
  </si>
  <si>
    <t>Other long-term liabilities</t>
  </si>
  <si>
    <t>Stockholders’ equity:</t>
  </si>
  <si>
    <t>Treasury stock, at cost</t>
  </si>
  <si>
    <t>Additional paid-in capital</t>
  </si>
  <si>
    <t>Accumulated other comprehensive income (loss)</t>
  </si>
  <si>
    <t>Retained earnings</t>
  </si>
  <si>
    <t>Total stockholders’ equity</t>
  </si>
  <si>
    <t>Total liabilities and stockholders’ equity</t>
  </si>
  <si>
    <t xml:space="preserve">Historical </t>
  </si>
  <si>
    <t>$ in millions, except per share data</t>
  </si>
  <si>
    <t>INCOME STATEMENT</t>
  </si>
  <si>
    <t>Gross profit</t>
  </si>
  <si>
    <t>Operating income A.K.A EBIT</t>
  </si>
  <si>
    <t>Net interest income / expense</t>
  </si>
  <si>
    <t>Shares out standing</t>
  </si>
  <si>
    <t>Margins as % of Net Sales</t>
  </si>
  <si>
    <t>EBIT</t>
  </si>
  <si>
    <t>Income tax expense</t>
  </si>
  <si>
    <t>Depreciation &amp; Amortization</t>
  </si>
  <si>
    <t>CapEx</t>
  </si>
  <si>
    <t>EBITDA</t>
  </si>
  <si>
    <t>Cost of sales as % of net product sales</t>
  </si>
  <si>
    <t>Cost of sales as % of net sales</t>
  </si>
  <si>
    <t>Effective tax rate</t>
  </si>
  <si>
    <t>Revenue growth</t>
  </si>
  <si>
    <t>BALANCE SHEET</t>
  </si>
  <si>
    <t xml:space="preserve">Common Stock </t>
  </si>
  <si>
    <t>Total liabilities</t>
  </si>
  <si>
    <t>Check</t>
  </si>
  <si>
    <t>Assets</t>
  </si>
  <si>
    <t>Liabilities</t>
  </si>
  <si>
    <t>Working Capital Assumptions</t>
  </si>
  <si>
    <t>Inventories days</t>
  </si>
  <si>
    <t>Account receivables days</t>
  </si>
  <si>
    <t>Accounts payable days</t>
  </si>
  <si>
    <t>Accrued expenses and other days</t>
  </si>
  <si>
    <t>Unearned revenue days</t>
  </si>
  <si>
    <t>SHARES BUYBACK SCHEDULE</t>
  </si>
  <si>
    <t>DEBT SCHEDULE</t>
  </si>
  <si>
    <t>Basic Shares Outstanding</t>
  </si>
  <si>
    <t>Beginning balance</t>
  </si>
  <si>
    <t>Repurchases</t>
  </si>
  <si>
    <t>Issuances</t>
  </si>
  <si>
    <t>Basic Ending Shares Balance</t>
  </si>
  <si>
    <t>Average shares</t>
  </si>
  <si>
    <t>Beginning balance  - Buyback program outstanding</t>
  </si>
  <si>
    <t xml:space="preserve">Repurchase amount </t>
  </si>
  <si>
    <t>Ending balance</t>
  </si>
  <si>
    <t>Share price repurchase</t>
  </si>
  <si>
    <t>Issuance stock price as of:</t>
  </si>
  <si>
    <t>Cash &amp; Equivalents - Beginning of Year</t>
  </si>
  <si>
    <t>Free Cash Flow (Cash Available to Service Total Debt)</t>
  </si>
  <si>
    <t>Minimum Cash</t>
  </si>
  <si>
    <t>Common Stock Dividends</t>
  </si>
  <si>
    <t>Net Cash Available to Service Total Debt</t>
  </si>
  <si>
    <t>Cash &amp; Equivalents - End of Year</t>
  </si>
  <si>
    <t>Beginning Balance</t>
  </si>
  <si>
    <t>Revolver Drawdown - cash inflow borrowings</t>
  </si>
  <si>
    <t>Ending Balance</t>
  </si>
  <si>
    <t>Average Balance</t>
  </si>
  <si>
    <t>Interest Rate on Revolver Debt</t>
  </si>
  <si>
    <t>Interest Expense</t>
  </si>
  <si>
    <t>Long-Term Bank Debt</t>
  </si>
  <si>
    <t>Additional Borrowings</t>
  </si>
  <si>
    <t>Mandatory Repayments</t>
  </si>
  <si>
    <t>Interest Rate on Long-term Debt</t>
  </si>
  <si>
    <t>Cash &amp; Equivalents</t>
  </si>
  <si>
    <t>Change in Cash &amp; Equivalents</t>
  </si>
  <si>
    <t>Interest Income</t>
  </si>
  <si>
    <t>Delta Cash on debt schedule vs Cash &amp; Equivalents on BS.</t>
  </si>
  <si>
    <t>Revolver Repayments</t>
  </si>
  <si>
    <t>Lease Liabilities</t>
  </si>
  <si>
    <t>FY-Dec.22</t>
  </si>
  <si>
    <t>FY-Dec.23</t>
  </si>
  <si>
    <t>FY-Dec.24</t>
  </si>
  <si>
    <t>  </t>
  </si>
  <si>
    <t>    Revenue</t>
  </si>
  <si>
    <t>NA  </t>
  </si>
  <si>
    <t>    Gross Margin (%)</t>
  </si>
  <si>
    <t>    EBIT</t>
  </si>
  <si>
    <t>    Operating Profit</t>
  </si>
  <si>
    <t>    EBITDA</t>
  </si>
  <si>
    <t>    Pre-tax Profit</t>
  </si>
  <si>
    <t>    Net Income</t>
  </si>
  <si>
    <t>    Reported Net Profit</t>
  </si>
  <si>
    <t>    Reported Pre-tax Profit</t>
  </si>
  <si>
    <t>    Per Share Data</t>
  </si>
  <si>
    <t>        EPS (Options Expense Included)</t>
  </si>
  <si>
    <t>        EPS - Secondary Mean (Options Expense Excluded)</t>
  </si>
  <si>
    <t>        EPS - Fully Reported</t>
  </si>
  <si>
    <t>        EBITDA per Share</t>
  </si>
  <si>
    <t>Cash Flow</t>
  </si>
  <si>
    <t>    Capital Expenditure</t>
  </si>
  <si>
    <t>        Cash Flow per Share</t>
  </si>
  <si>
    <t>106.46  </t>
  </si>
  <si>
    <t>126.51  </t>
  </si>
  <si>
    <t>201.27  </t>
  </si>
  <si>
    <t>234.97  </t>
  </si>
  <si>
    <t>        Free Cash Flow per Share</t>
  </si>
  <si>
    <t>59.11  </t>
  </si>
  <si>
    <t>81.00  </t>
  </si>
  <si>
    <t>102.79  </t>
  </si>
  <si>
    <t>133.78  </t>
  </si>
  <si>
    <t>166.47  </t>
  </si>
  <si>
    <t>    Net Asset Value</t>
  </si>
  <si>
    <t>75,841.49  </t>
  </si>
  <si>
    <t>103,047.24  </t>
  </si>
  <si>
    <t>136,644.44  </t>
  </si>
  <si>
    <t>198,170.13  </t>
  </si>
  <si>
    <t>266,910.27  </t>
  </si>
  <si>
    <t>    Net Debt</t>
  </si>
  <si>
    <t>-39,839.60  </t>
  </si>
  <si>
    <t>-62,294.91  </t>
  </si>
  <si>
    <t>-101,639.62  </t>
  </si>
  <si>
    <t>-74,814.00  </t>
  </si>
  <si>
    <t>-269,465.00  </t>
  </si>
  <si>
    <t>        Book Value per Share</t>
  </si>
  <si>
    <t>166.15  </t>
  </si>
  <si>
    <t>220.89  </t>
  </si>
  <si>
    <t>292.94  </t>
  </si>
  <si>
    <t>        Tangible Book Value per Share</t>
  </si>
  <si>
    <t>146.43  </t>
  </si>
  <si>
    <t>196.03  </t>
  </si>
  <si>
    <t>271.95  </t>
  </si>
  <si>
    <t>Valuation</t>
  </si>
  <si>
    <t>    ROA (%)</t>
  </si>
  <si>
    <t>5.33  </t>
  </si>
  <si>
    <t>7.72  </t>
  </si>
  <si>
    <t>11.06  </t>
  </si>
  <si>
    <t>14.91  </t>
  </si>
  <si>
    <t>18.05  </t>
  </si>
  <si>
    <t>    ROE (%)</t>
  </si>
  <si>
    <t>16.89  </t>
  </si>
  <si>
    <t>23.56  </t>
  </si>
  <si>
    <t>24.91  </t>
  </si>
  <si>
    <t>    Enterprise Value</t>
  </si>
  <si>
    <t>1,279,338.39  </t>
  </si>
  <si>
    <t>1,142,478.73  </t>
  </si>
  <si>
    <t>1,185,067.95  </t>
  </si>
  <si>
    <t>1,275,051.00  </t>
  </si>
  <si>
    <t>NA</t>
  </si>
  <si>
    <t>Net Sales</t>
  </si>
  <si>
    <t xml:space="preserve">Property, plant &amp; equipment </t>
  </si>
  <si>
    <t>Capital expenditures</t>
  </si>
  <si>
    <t>As % of revenue</t>
  </si>
  <si>
    <t>Straight line depreciation Years</t>
  </si>
  <si>
    <t>CapEx Years</t>
  </si>
  <si>
    <t>Existing PP&amp;E</t>
  </si>
  <si>
    <t>Total book depreciation</t>
  </si>
  <si>
    <t>DEPRECIATION SCHEDULE</t>
  </si>
  <si>
    <t>Amortization</t>
  </si>
  <si>
    <t>Amortization expense</t>
  </si>
  <si>
    <t>CASH FLOW STATEMENT</t>
  </si>
  <si>
    <t>Stock base compensation</t>
  </si>
  <si>
    <t>Other expense</t>
  </si>
  <si>
    <t>Deferred Income taxes</t>
  </si>
  <si>
    <t>Changes in working capital</t>
  </si>
  <si>
    <t>Net change in working capital</t>
  </si>
  <si>
    <t>Cash provided by operating activities</t>
  </si>
  <si>
    <t>Investing Activities</t>
  </si>
  <si>
    <t>Financing Activities</t>
  </si>
  <si>
    <t>Proceeds and repayments of long-term debt</t>
  </si>
  <si>
    <t>Proceeds and repayments of lease obligations</t>
  </si>
  <si>
    <t>Cash provide by investing activities</t>
  </si>
  <si>
    <t>Dividend payout</t>
  </si>
  <si>
    <t>Proceeds from stock issuances</t>
  </si>
  <si>
    <t>Shares repurchase / buybacks</t>
  </si>
  <si>
    <t>Other</t>
  </si>
  <si>
    <t>Cash provided by financing activities</t>
  </si>
  <si>
    <t>Foreign currency effect on cash, cash equivalents, and restricted cash</t>
  </si>
  <si>
    <t>Change in cash &amp; equivalents</t>
  </si>
  <si>
    <t>Cash at the end of the year</t>
  </si>
  <si>
    <t xml:space="preserve">For the year ending December, </t>
  </si>
  <si>
    <t>Margin as % of Revenue</t>
  </si>
  <si>
    <t>REVENUE BREAK-DOWN</t>
  </si>
  <si>
    <t>Net Sales by products &amp; service</t>
  </si>
  <si>
    <t>Product sales</t>
  </si>
  <si>
    <t>Services Sales</t>
  </si>
  <si>
    <t>Net Revenue</t>
  </si>
  <si>
    <t>Net Sales by Type</t>
  </si>
  <si>
    <t>Online stores</t>
  </si>
  <si>
    <t>Physical Stores</t>
  </si>
  <si>
    <t>Third-party seller services</t>
  </si>
  <si>
    <t>subcription services</t>
  </si>
  <si>
    <t>Amazon Web Services (AWS)</t>
  </si>
  <si>
    <t>Net Sales by Segment</t>
  </si>
  <si>
    <t>North America</t>
  </si>
  <si>
    <t>International</t>
  </si>
  <si>
    <t xml:space="preserve">US Online Retail Industry Sales </t>
  </si>
  <si>
    <t>Amazon Market share</t>
  </si>
  <si>
    <t>As % Weight of Net Revenue</t>
  </si>
  <si>
    <t>By Products &amp; Services</t>
  </si>
  <si>
    <t>By Segment</t>
  </si>
  <si>
    <t>By Sales Type</t>
  </si>
  <si>
    <t>y-o-y growth</t>
  </si>
  <si>
    <t>Upside Case</t>
  </si>
  <si>
    <t>Wall Street Case</t>
  </si>
  <si>
    <t>Model assumptions</t>
  </si>
  <si>
    <t>Fulfillment center</t>
  </si>
  <si>
    <t>SCENARIOS</t>
  </si>
  <si>
    <t>Consolidated revenue growth</t>
  </si>
  <si>
    <t>Step</t>
  </si>
  <si>
    <t>Depreciation</t>
  </si>
  <si>
    <t>Other assets (includes intangible assets)</t>
  </si>
  <si>
    <t>Cash change</t>
  </si>
  <si>
    <t>Free cash flow</t>
  </si>
  <si>
    <t>Dilution impact</t>
  </si>
  <si>
    <t>Interest Rate on Cash, Equivalents &amp; Marketable Securities</t>
  </si>
  <si>
    <t>Total</t>
  </si>
  <si>
    <t>Median</t>
  </si>
  <si>
    <t xml:space="preserve">Net Equity Issuances / (Repurchases) </t>
  </si>
  <si>
    <t>Revolver / Short term debt</t>
  </si>
  <si>
    <t>Revolver</t>
  </si>
  <si>
    <t>Revolver borrowings / repyament</t>
  </si>
  <si>
    <t>Revolver / short-term debt drawdown / (repayments)</t>
  </si>
  <si>
    <t>Cash Available to Service Lease liabilities</t>
  </si>
  <si>
    <t>Lease liabilities drawdown / (repayments)</t>
  </si>
  <si>
    <t>Lease mandatory repayments</t>
  </si>
  <si>
    <t>Cash Available to Long-term debt</t>
  </si>
  <si>
    <t>Long-term debt borrowings/ (repayments)</t>
  </si>
  <si>
    <t>Interest Rate on lease liabilities</t>
  </si>
  <si>
    <t>3.300% Notes due on December 5, 2021 (2)</t>
  </si>
  <si>
    <t>2.500% Notes due on November 29, 2022 (1)</t>
  </si>
  <si>
    <t>2.400% Notes due on February 22, 2023 (3)</t>
  </si>
  <si>
    <t>2.800% Notes due on August 22, 2024 (3)</t>
  </si>
  <si>
    <t>3.800% Notes due on December 5, 2024 (2)</t>
  </si>
  <si>
    <t>5.200% Notes due on December 3, 2025 (4)</t>
  </si>
  <si>
    <t>3.150% Notes due on August 22, 2027 (3)</t>
  </si>
  <si>
    <t>4.800% Notes due on December 5, 2034 (2)</t>
  </si>
  <si>
    <t>3.875% Notes due on August 22, 2037 (3)</t>
  </si>
  <si>
    <t>4.950% Notes due on December 5, 2044 (2)</t>
  </si>
  <si>
    <t>4.050% Notes due on August 22, 2047 (3)</t>
  </si>
  <si>
    <t>4.250% Notes due on August 22, 2057 (3)</t>
  </si>
  <si>
    <t>Interest</t>
  </si>
  <si>
    <t>Interest Payment</t>
  </si>
  <si>
    <t>Note description</t>
  </si>
  <si>
    <t>Case</t>
  </si>
  <si>
    <t>Wall street estimates</t>
  </si>
  <si>
    <t>EBIT Wall street estimates</t>
  </si>
  <si>
    <t>EBITDA Wall street estimates</t>
  </si>
  <si>
    <t>Credit Suisse</t>
  </si>
  <si>
    <t>DB</t>
  </si>
  <si>
    <t>D&amp;A</t>
  </si>
  <si>
    <t>Adjusted EBITDA</t>
  </si>
  <si>
    <t>Amazon.com, Inc. Company Valuation</t>
  </si>
  <si>
    <t>Stock price</t>
  </si>
  <si>
    <t>Market value</t>
  </si>
  <si>
    <t>Enterprise</t>
  </si>
  <si>
    <t>Enterprise value / LTM</t>
  </si>
  <si>
    <t>EPS Growth</t>
  </si>
  <si>
    <t xml:space="preserve">Total debt / </t>
  </si>
  <si>
    <t xml:space="preserve">Levered </t>
  </si>
  <si>
    <t>Company</t>
  </si>
  <si>
    <t>of equity</t>
  </si>
  <si>
    <t>Value</t>
  </si>
  <si>
    <t>Sales</t>
  </si>
  <si>
    <t>PE</t>
  </si>
  <si>
    <t>Gross</t>
  </si>
  <si>
    <t>Betas</t>
  </si>
  <si>
    <t>($ in millions, except stock price)</t>
  </si>
  <si>
    <t>LTM Margins</t>
  </si>
  <si>
    <t>Alphabet Inc. (NasdaqGS:GOOG.L)</t>
  </si>
  <si>
    <t>Facebook, Inc. (NasdaqGS:FB)</t>
  </si>
  <si>
    <t>Walmart Inc. (NYSE:WMT)</t>
  </si>
  <si>
    <t>Expedia Group, Inc. (NasdaqGS:EXPE)</t>
  </si>
  <si>
    <t>eBay Inc. (NasdaqGS:EBAY)</t>
  </si>
  <si>
    <t>Wayfair Inc. (NYSE:W)</t>
  </si>
  <si>
    <t>Booking Holdings Inc. (NasdaqGS:BKNG)</t>
  </si>
  <si>
    <t>Zillow Group, Inc. (NasdaqGS:ZG)</t>
  </si>
  <si>
    <t>Alibaba Group Holding Limited (NYSE:BABA)</t>
  </si>
  <si>
    <t>Market Trading Analysis of Selected Online and Ecommerce Retail Group</t>
  </si>
  <si>
    <t>Online and Ecommerce Retail Group</t>
  </si>
  <si>
    <t>NM</t>
  </si>
  <si>
    <t>Mean</t>
  </si>
  <si>
    <t>AMZN</t>
  </si>
  <si>
    <t>C19</t>
  </si>
  <si>
    <t>F21</t>
  </si>
  <si>
    <t>F25</t>
  </si>
  <si>
    <t>F34</t>
  </si>
  <si>
    <t>K5</t>
  </si>
  <si>
    <t>E12</t>
  </si>
  <si>
    <t>E5</t>
  </si>
  <si>
    <t>M49</t>
  </si>
  <si>
    <t>M52</t>
  </si>
  <si>
    <t>M50</t>
  </si>
  <si>
    <t>I5</t>
  </si>
  <si>
    <t>Price / Earnings</t>
  </si>
  <si>
    <t>Total Debt / LTM</t>
  </si>
  <si>
    <t>LTM</t>
  </si>
  <si>
    <t>SALES</t>
  </si>
  <si>
    <t>Multiple</t>
  </si>
  <si>
    <t>Price</t>
  </si>
  <si>
    <t>Total debt</t>
  </si>
  <si>
    <t>EPS</t>
  </si>
  <si>
    <t>52WK High</t>
  </si>
  <si>
    <t>Debt / Total capitalization</t>
  </si>
  <si>
    <t xml:space="preserve">Equity </t>
  </si>
  <si>
    <t>Off 52 WK High</t>
  </si>
  <si>
    <t>Enterprise value / EBITDA</t>
  </si>
  <si>
    <t xml:space="preserve"> LTM EBITDA</t>
  </si>
  <si>
    <t>EV</t>
  </si>
  <si>
    <t>LTM EBITDA</t>
  </si>
  <si>
    <t>ENTERPRISE VALUE</t>
  </si>
  <si>
    <t>($US millions, except per share data)</t>
  </si>
  <si>
    <t>Yr ended</t>
  </si>
  <si>
    <t>COMMENTS</t>
  </si>
  <si>
    <t>Total revenues, net</t>
  </si>
  <si>
    <t>Shares outstanding</t>
  </si>
  <si>
    <t>Options outstanding TSM</t>
  </si>
  <si>
    <t>Fully Diluted shares outstanding</t>
  </si>
  <si>
    <t>Equity value</t>
  </si>
  <si>
    <t>Calculation of Enterprise Value</t>
  </si>
  <si>
    <t>Other non-operating items</t>
  </si>
  <si>
    <t>Revolver or Current Portion of Long-term debt, Operating Lease</t>
  </si>
  <si>
    <t>Total operating expense</t>
  </si>
  <si>
    <t>Operating income (EBIT)</t>
  </si>
  <si>
    <t>Interest &amp; income (expense)</t>
  </si>
  <si>
    <t>Convertible preferred</t>
  </si>
  <si>
    <t>Junior sub. Debt</t>
  </si>
  <si>
    <t>Pretax income</t>
  </si>
  <si>
    <t>Minority interest</t>
  </si>
  <si>
    <t xml:space="preserve">  Less: Cash &amp; equivalents, short-term investments</t>
  </si>
  <si>
    <t>Income continued opts</t>
  </si>
  <si>
    <t>Enterprise value</t>
  </si>
  <si>
    <t>Adj. EBITDA</t>
  </si>
  <si>
    <t>Options</t>
  </si>
  <si>
    <t>Strike</t>
  </si>
  <si>
    <t>Fully Diluted</t>
  </si>
  <si>
    <t>Outstanding</t>
  </si>
  <si>
    <t>Shares</t>
  </si>
  <si>
    <t>Earnings per share:</t>
  </si>
  <si>
    <t xml:space="preserve">Basic </t>
  </si>
  <si>
    <t>Margins</t>
  </si>
  <si>
    <t>Source: SEC filings, 10Ks &amp; 10Qs.</t>
  </si>
  <si>
    <t>Note: figuees not adjusted for non-recurring items.</t>
  </si>
  <si>
    <t>Source: SEC Filings 10K, 10Q and Capital IQ.</t>
  </si>
  <si>
    <t>Share Price Valution</t>
  </si>
  <si>
    <t>Share Price</t>
  </si>
  <si>
    <t>Low</t>
  </si>
  <si>
    <t>High</t>
  </si>
  <si>
    <t>EBITDA Multiple</t>
  </si>
  <si>
    <t>EBITDA Multiple Company Valuation Analysis</t>
  </si>
  <si>
    <t>Sales Multiple</t>
  </si>
  <si>
    <t>($in millions, except per share data)</t>
  </si>
  <si>
    <t>PE Multiple</t>
  </si>
  <si>
    <t>Implied Reference Range</t>
  </si>
  <si>
    <t>Data</t>
  </si>
  <si>
    <t>—</t>
  </si>
  <si>
    <t>Implied Enterprise Value Reference Range</t>
  </si>
  <si>
    <t>(-) Net Debt</t>
  </si>
  <si>
    <t>Implied Equity Value Reference Range</t>
  </si>
  <si>
    <t>Fully diluted shares (millions)</t>
  </si>
  <si>
    <t>Implied Share Price</t>
  </si>
  <si>
    <t>Implied Price Premium (%) to current share price as of most recent close</t>
  </si>
  <si>
    <t>Sales Multiple Company Valuation Analysis</t>
  </si>
  <si>
    <t>LTM Sales</t>
  </si>
  <si>
    <t>Price Earnings Multiple Company Valuation</t>
  </si>
  <si>
    <t>LTM EPS</t>
  </si>
  <si>
    <t xml:space="preserve">Precedent Transaction Company Valuation </t>
  </si>
  <si>
    <t>CASE</t>
  </si>
  <si>
    <t>Amazon.com, Inc. (AMZN)</t>
  </si>
  <si>
    <t>Adjustments equity investment net of tax</t>
  </si>
  <si>
    <t>Diluted EPS growth</t>
  </si>
  <si>
    <t xml:space="preserve">Announcement
</t>
  </si>
  <si>
    <t xml:space="preserve">Enterprise Value / </t>
  </si>
  <si>
    <t>Date</t>
  </si>
  <si>
    <t>Target</t>
  </si>
  <si>
    <t>Apollo Global Management, LLC</t>
  </si>
  <si>
    <t>Acquirer</t>
  </si>
  <si>
    <t>Hellman &amp; Friedman LLC</t>
  </si>
  <si>
    <t>The Blackstone Group L.P./CVC Capital Partners</t>
  </si>
  <si>
    <t>Vantiv, Inc.</t>
  </si>
  <si>
    <t>Total System Services, Inc.</t>
  </si>
  <si>
    <t>Global Payments, Inc.</t>
  </si>
  <si>
    <t>Vista Equity Partners</t>
  </si>
  <si>
    <t>Kohlberg Kravis Roberts &amp; Co. L.P.</t>
  </si>
  <si>
    <t>Nets A/S</t>
  </si>
  <si>
    <t>Paysafe Group plc</t>
  </si>
  <si>
    <t>Worldpay Group plc</t>
  </si>
  <si>
    <t>TransFirst, Inc.</t>
  </si>
  <si>
    <t>Heartland Payment Systems, Inc.</t>
  </si>
  <si>
    <t>Mercury Payment Systems LLC</t>
  </si>
  <si>
    <t>First Data Corporation</t>
  </si>
  <si>
    <t>Payments processing sector</t>
  </si>
  <si>
    <t>Grocery retail targets</t>
  </si>
  <si>
    <t>https://www.sec.gov/Archives/edgar/data/865436/000157104917006849/t1702075-defm14a.htm</t>
  </si>
  <si>
    <t>Source: Evercore fairness opinion</t>
  </si>
  <si>
    <t>Source: JP Morgan fairness opinion</t>
  </si>
  <si>
    <t>Unified Grocers, Inc.</t>
  </si>
  <si>
    <t>Save-A-Lot (subsidiary of Supervalu Inc.)</t>
  </si>
  <si>
    <t>The Fresh Market, Inc.</t>
  </si>
  <si>
    <t>Roundy’s, Inc.</t>
  </si>
  <si>
    <t>Delhaize Group</t>
  </si>
  <si>
    <t>Safeway Inc.</t>
  </si>
  <si>
    <t>Arden Group, Inc.</t>
  </si>
  <si>
    <t>Nash Finch Company</t>
  </si>
  <si>
    <t>Harris Teeter Supermarkets, Inc.</t>
  </si>
  <si>
    <t>Supervalu (five retail grocery banners)</t>
  </si>
  <si>
    <t>Smart &amp; Final Holdings Corp.</t>
  </si>
  <si>
    <t>Winn-Dixie Stores, Inc.</t>
  </si>
  <si>
    <t>Supervalu Inc.</t>
  </si>
  <si>
    <t>Onex Corp.</t>
  </si>
  <si>
    <t>The Kroger Co.</t>
  </si>
  <si>
    <t>Koninklijke Ahold N.V</t>
  </si>
  <si>
    <t>Cerberus Capital Management, L.P., Kimco Realty Corporation, Klaff Realty, LP, Lubert-Adler Partners LP, Schottenstein Stores Corporation</t>
  </si>
  <si>
    <t>TPG</t>
  </si>
  <si>
    <t>Spartan Stores, Inc.</t>
  </si>
  <si>
    <t>Cerberus Capital Management L.P.</t>
  </si>
  <si>
    <t>Ares Management</t>
  </si>
  <si>
    <t>Lone Star Funds</t>
  </si>
  <si>
    <t>https://www.sec.gov/Archives/edgar/data/883980/000119312519074204/d685125ddefm14a.htm</t>
  </si>
  <si>
    <t xml:space="preserve">Precedent Transactions </t>
  </si>
  <si>
    <t>Tax Rate</t>
  </si>
  <si>
    <t>DISCOUNTED CASH FLOW</t>
  </si>
  <si>
    <t>($ in millions, except per share figures)</t>
  </si>
  <si>
    <t>Projected Fiscal Year Ending December 31,</t>
  </si>
  <si>
    <t>Valuation Method</t>
  </si>
  <si>
    <t>Terminal EBITDA</t>
  </si>
  <si>
    <t>Top-Down Unlevered Free Cash Flow (UFCF) Calculations</t>
  </si>
  <si>
    <t>Perpetuity</t>
  </si>
  <si>
    <t>Less: Depreciation &amp; Deductible Amortization</t>
  </si>
  <si>
    <t>Taxes</t>
  </si>
  <si>
    <t>Tax-Effected Unlevered Taxable Income "EBIT"</t>
  </si>
  <si>
    <t>Plus: Depreciation &amp; Deductible Amortization</t>
  </si>
  <si>
    <t>Plus: Working Capital Surplus / (Deficiency)</t>
  </si>
  <si>
    <t>Less: Capital Expenditures</t>
  </si>
  <si>
    <t>Unlevered Free Cash Flow</t>
  </si>
  <si>
    <t>Discount Periods - Mid year convention</t>
  </si>
  <si>
    <t>Discount Rate - WACC</t>
  </si>
  <si>
    <t>Present value of ULFCF</t>
  </si>
  <si>
    <t>Sum of present value of ULFCF</t>
  </si>
  <si>
    <t>NPV</t>
  </si>
  <si>
    <t>VALUATION METHODOLOGY</t>
  </si>
  <si>
    <t>Terminal EBITDA method</t>
  </si>
  <si>
    <t>Sensitivity Analysis</t>
  </si>
  <si>
    <t>Exit Year EBITDA</t>
  </si>
  <si>
    <t>Terminal EBITDA Multiple</t>
  </si>
  <si>
    <t xml:space="preserve">Terminal Value </t>
  </si>
  <si>
    <t>WACC / Discount rate</t>
  </si>
  <si>
    <t>Discount period</t>
  </si>
  <si>
    <t>Net Present Terminal Value</t>
  </si>
  <si>
    <t>Implied Enterprise value</t>
  </si>
  <si>
    <t>Current debt</t>
  </si>
  <si>
    <t>Cash</t>
  </si>
  <si>
    <t>Net debt</t>
  </si>
  <si>
    <t>Implied Equity Value</t>
  </si>
  <si>
    <t>Diluted shares outstanding</t>
  </si>
  <si>
    <t>Implied share price</t>
  </si>
  <si>
    <t>Perpetuity method</t>
  </si>
  <si>
    <t>Perpetuity Growth Method</t>
  </si>
  <si>
    <t>Growth Rate</t>
  </si>
  <si>
    <t>Weighted Average Cost of Capital WACC</t>
  </si>
  <si>
    <t xml:space="preserve">Stock Price </t>
  </si>
  <si>
    <t>Fully diluted Shares Outstanding</t>
  </si>
  <si>
    <t>Equity Value</t>
  </si>
  <si>
    <t>Cap %</t>
  </si>
  <si>
    <t>Equity</t>
  </si>
  <si>
    <t>Debt</t>
  </si>
  <si>
    <t>Total capitalization</t>
  </si>
  <si>
    <t>CAPM</t>
  </si>
  <si>
    <t xml:space="preserve">LT S&amp;P500 </t>
  </si>
  <si>
    <t xml:space="preserve">30 year bond - Risk Free Rate </t>
  </si>
  <si>
    <t>rate of return</t>
  </si>
  <si>
    <t xml:space="preserve">Equity Risk Premium </t>
  </si>
  <si>
    <t xml:space="preserve">Beta </t>
  </si>
  <si>
    <t xml:space="preserve">Cost of Equity </t>
  </si>
  <si>
    <t>Tax rate</t>
  </si>
  <si>
    <t xml:space="preserve">Cost of Debt </t>
  </si>
  <si>
    <t>Cost of Preferred Stock</t>
  </si>
  <si>
    <t>WACC Driver</t>
  </si>
  <si>
    <t>Football field</t>
  </si>
  <si>
    <t>Valuation Methodology</t>
  </si>
  <si>
    <t>Spread</t>
  </si>
  <si>
    <t>52-Week high/low</t>
  </si>
  <si>
    <t xml:space="preserve">Comparable 
</t>
  </si>
  <si>
    <t xml:space="preserve">Selected Range:
EV/Sales: </t>
  </si>
  <si>
    <t>Company 
Valuation</t>
  </si>
  <si>
    <t xml:space="preserve">Selected Range:
EV/EBITDA: </t>
  </si>
  <si>
    <t xml:space="preserve">Selected Range:
PE Ratio: </t>
  </si>
  <si>
    <t>DCF Perpetuity
Growth:  1.0% - 2.5%
WACC: 5.5% - 7.5%</t>
  </si>
  <si>
    <t>DCF Terminal EBITDA 
EV/EBITDA: 19.0x - 22.0x
WACC: 5.5% - 7.5%</t>
  </si>
  <si>
    <t>Selected range</t>
  </si>
  <si>
    <t>Current share price</t>
  </si>
  <si>
    <t>Potential return</t>
  </si>
  <si>
    <t>Price Target</t>
  </si>
  <si>
    <t>% of current price</t>
  </si>
  <si>
    <t>Street Case</t>
  </si>
  <si>
    <t>Bear Case</t>
  </si>
  <si>
    <t>Net Debt</t>
  </si>
  <si>
    <t>Implied Enterprise Value</t>
  </si>
  <si>
    <t>2020 EBITDA</t>
  </si>
  <si>
    <t>EV/2020 EBITDA</t>
  </si>
  <si>
    <t>2020 Diluted EPS</t>
  </si>
  <si>
    <t>Price / Diluted EPS</t>
  </si>
  <si>
    <t>Risk free rate + BETA* Equity risk premium</t>
  </si>
  <si>
    <t>Equity weight * Cost of Equity + Debt weight * Cost of Debt * (1-tax) + Preferred rate</t>
  </si>
  <si>
    <t>COMP VALUATION ASSUMPTION</t>
  </si>
  <si>
    <t>Comps Multiples Valution Case</t>
  </si>
  <si>
    <t>% Change</t>
  </si>
  <si>
    <t>Romero Mentoring Bear Case</t>
  </si>
  <si>
    <t>Total net sales (Total Revenues)</t>
  </si>
  <si>
    <t>Other operating expense/income</t>
  </si>
  <si>
    <t>Capital Expenditures (Purchases of property &amp; equip)</t>
  </si>
  <si>
    <t>FY-Dec.25</t>
  </si>
  <si>
    <t>FY-Dec.26</t>
  </si>
  <si>
    <t>Cost of Sales/Cost of goods sold</t>
  </si>
  <si>
    <t>Gross Profit</t>
  </si>
  <si>
    <t xml:space="preserve"> - This is more art than science</t>
  </si>
  <si>
    <t>antes eu estava um pouco fora (comparando historico com as projecoes)</t>
  </si>
  <si>
    <t>entao eu administrei o straight line depreciation years (que antes tava 10, depois 7 e depois mudei para 5)</t>
  </si>
  <si>
    <t>também administrei Capex Years (que antes tava 7 anos, depois 5 anos e agora 4)</t>
  </si>
  <si>
    <t>Morgan Stanley</t>
  </si>
  <si>
    <t>2022 - 2023</t>
  </si>
  <si>
    <t>Yahoo Debt:</t>
  </si>
  <si>
    <t>157.45B</t>
  </si>
  <si>
    <r>
      <t xml:space="preserve">Fulfillment, </t>
    </r>
    <r>
      <rPr>
        <b/>
        <sz val="10"/>
        <rFont val="Calibri"/>
        <family val="2"/>
        <scheme val="minor"/>
      </rPr>
      <t>General Ad</t>
    </r>
    <r>
      <rPr>
        <sz val="10"/>
        <rFont val="Calibri"/>
        <family val="2"/>
        <scheme val="minor"/>
      </rPr>
      <t xml:space="preserve">min. Exp. </t>
    </r>
  </si>
  <si>
    <r>
      <t>Technology, content and</t>
    </r>
    <r>
      <rPr>
        <b/>
        <sz val="10"/>
        <rFont val="Calibri"/>
        <family val="2"/>
        <scheme val="minor"/>
      </rPr>
      <t xml:space="preserve"> Marketin</t>
    </r>
    <r>
      <rPr>
        <sz val="10"/>
        <rFont val="Calibri"/>
        <family val="2"/>
        <scheme val="minor"/>
      </rPr>
      <t>g</t>
    </r>
  </si>
  <si>
    <t>3/31/2021</t>
  </si>
  <si>
    <t>3/31/2022</t>
  </si>
  <si>
    <t>6 Months Ending</t>
  </si>
  <si>
    <t>Reported taxes (provision)</t>
  </si>
  <si>
    <t>Amazon.com FROM YAHOO FINANCE:</t>
  </si>
  <si>
    <t>RANGE:</t>
  </si>
  <si>
    <t>2.4x - 3.5x</t>
  </si>
  <si>
    <t>15.6x - 30x</t>
  </si>
  <si>
    <t>51x - 68x</t>
  </si>
  <si>
    <t>aqui no mais recent 10Q o fully diluted shares estava 10 trilhoes</t>
  </si>
  <si>
    <t>LTM NUMBERS</t>
  </si>
  <si>
    <t>-</t>
  </si>
  <si>
    <t>Hardcode EPS LTM from Yahoo Finance</t>
  </si>
  <si>
    <t>Average</t>
  </si>
  <si>
    <t>all the cash flow into the future, including the EBTIDA worth this amount today</t>
  </si>
  <si>
    <t xml:space="preserve"> --&gt; debt is less riskier than equity</t>
  </si>
  <si>
    <t xml:space="preserve"> --&gt; 90.0% of the business is equity. The majority of the business is alocated as equity</t>
  </si>
  <si>
    <t xml:space="preserve"> --&gt; If Amazon wants to raise capital (issue shares), they're gonna go to a bank and let's say they want to sell a million shares, the Co. will give 10.5% discount from the current share price for the investor (secondary offer)</t>
  </si>
  <si>
    <t xml:space="preserve"> --&gt; from na investor statepoint, 10.5% it is a minimum return</t>
  </si>
  <si>
    <t>(1= Wall Street;  2= Bear Case; 3= Upside)</t>
  </si>
  <si>
    <t>Running Scenario Case:</t>
  </si>
  <si>
    <t>(1=Wall Street; Bear Case; 3=Upside Case)</t>
  </si>
  <si>
    <t>What the Market is saying: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</si>
</sst>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#,##0.0_);\(#,##0.0\)"/>
    <numFmt numFmtId="169" formatCode="&quot;$&quot;#,##0.0_);[Red]\(&quot;$&quot;#,##0.0\)"/>
    <numFmt numFmtId="170" formatCode="0.0%"/>
    <numFmt numFmtId="171" formatCode="#,##0.0_);[Red]\(#,##0.0\)"/>
    <numFmt numFmtId="172" formatCode="&quot;$&quot;#,##0.0_);\(&quot;$&quot;#,##0.0\)"/>
    <numFmt numFmtId="173" formatCode="General\A"/>
    <numFmt numFmtId="174" formatCode="General\E"/>
    <numFmt numFmtId="175" formatCode="0.0&quot; days&quot;"/>
    <numFmt numFmtId="176" formatCode="#,##0.0"/>
    <numFmt numFmtId="177" formatCode="#,##0.000000"/>
    <numFmt numFmtId="178" formatCode="&quot;$&quot;#,##0.0;[Red]&quot;$&quot;#,##0.0"/>
    <numFmt numFmtId="179" formatCode="General&quot;-years&quot;"/>
    <numFmt numFmtId="180" formatCode="General&quot;-CapEx&quot;"/>
    <numFmt numFmtId="181" formatCode="&quot;$&quot;#,##0.000_);[Red]\(&quot;$&quot;#,##0.000\)"/>
    <numFmt numFmtId="182" formatCode="&quot; As of:&quot;\ m/d/yyyy"/>
    <numFmt numFmtId="183" formatCode="0.0\x"/>
    <numFmt numFmtId="184" formatCode="#,##0.00;\(#,##0.00\);&quot;-&quot;"/>
    <numFmt numFmtId="185" formatCode="&quot;$&quot;#,##0.00"/>
    <numFmt numFmtId="186" formatCode="#,##0.000"/>
    <numFmt numFmtId="187" formatCode="#,##0.000_);\(#,##0.000\)"/>
    <numFmt numFmtId="188" formatCode="#0.0%_);\(#0.0%\)"/>
    <numFmt numFmtId="189" formatCode="#,##0.000_);[Red]\(#,##0.000\)"/>
    <numFmt numFmtId="190" formatCode="mm/dd/yy;@"/>
    <numFmt numFmtId="191" formatCode="#,##0.0\x"/>
    <numFmt numFmtId="192" formatCode="#,##0.00\x"/>
    <numFmt numFmtId="193" formatCode="#,##0.00_);\(#,##0.00\);#,##0.00_);@_)"/>
    <numFmt numFmtId="194" formatCode="0.0000000000%"/>
    <numFmt numFmtId="195" formatCode="[$$-409]#,##0.0_ ;\-[$$-409]#,##0.0\ "/>
    <numFmt numFmtId="196" formatCode="0.0000%"/>
    <numFmt numFmtId="197" formatCode="0.000%"/>
  </numFmts>
  <fonts count="10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212529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0"/>
      <color rgb="FF212529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sz val="8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rgb="FF212529"/>
      <name val="Arial"/>
      <family val="2"/>
    </font>
    <font>
      <sz val="11"/>
      <color rgb="FF0000FF"/>
      <name val="Arial"/>
      <family val="2"/>
    </font>
    <font>
      <b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0"/>
      <color rgb="FF0000FF"/>
      <name val="Arial"/>
      <family val="2"/>
    </font>
    <font>
      <i/>
      <sz val="10"/>
      <color rgb="FF212529"/>
      <name val="Arial"/>
      <family val="2"/>
    </font>
    <font>
      <sz val="11"/>
      <name val="Calibri"/>
      <family val="2"/>
      <scheme val="minor"/>
    </font>
    <font>
      <u/>
      <sz val="10"/>
      <color rgb="FF212529"/>
      <name val="Arial"/>
      <family val="2"/>
    </font>
    <font>
      <i/>
      <sz val="11"/>
      <color rgb="FF0000FF"/>
      <name val="Calibri"/>
      <family val="2"/>
      <scheme val="minor"/>
    </font>
    <font>
      <sz val="11"/>
      <color rgb="FF00B050"/>
      <name val="Arial"/>
      <family val="2"/>
    </font>
    <font>
      <i/>
      <sz val="10"/>
      <color rgb="FFFF000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17"/>
      <name val="Calibri"/>
      <family val="2"/>
      <scheme val="minor"/>
    </font>
    <font>
      <i/>
      <sz val="8"/>
      <name val="Calibri"/>
      <family val="2"/>
      <scheme val="minor"/>
    </font>
    <font>
      <sz val="10"/>
      <color rgb="FF00B05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20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33CC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8"/>
      <name val="Arial"/>
      <family val="2"/>
    </font>
    <font>
      <sz val="10"/>
      <color indexed="12"/>
      <name val="Arial"/>
      <family val="2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8000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6600"/>
      <name val="Calibri"/>
      <family val="2"/>
      <scheme val="minor"/>
    </font>
    <font>
      <sz val="8"/>
      <name val="Arial"/>
      <family val="2"/>
    </font>
    <font>
      <i/>
      <sz val="10"/>
      <name val="Arial"/>
      <family val="2"/>
    </font>
    <font>
      <b/>
      <sz val="15"/>
      <color theme="1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2"/>
      <name val="Arial"/>
      <family val="2"/>
    </font>
    <font>
      <b/>
      <u/>
      <sz val="12"/>
      <color theme="1"/>
      <name val="Arial"/>
      <family val="2"/>
    </font>
    <font>
      <u/>
      <sz val="12"/>
      <color theme="1"/>
      <name val="Arial"/>
      <family val="2"/>
    </font>
    <font>
      <b/>
      <sz val="11"/>
      <color indexed="16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33CC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6600"/>
      <name val="Calibri"/>
      <family val="2"/>
      <scheme val="minor"/>
    </font>
    <font>
      <sz val="11"/>
      <color rgb="FF0066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33CC"/>
      <name val="Calibri"/>
      <family val="2"/>
      <scheme val="minor"/>
    </font>
    <font>
      <sz val="11"/>
      <color indexed="12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theme="1"/>
      <name val="Calibri"/>
      <family val="2"/>
      <scheme val="minor"/>
    </font>
    <font>
      <b/>
      <sz val="10"/>
      <color theme="9"/>
      <name val="Arial"/>
      <family val="2"/>
    </font>
    <font>
      <b/>
      <sz val="11"/>
      <color theme="9"/>
      <name val="Calibri"/>
      <family val="2"/>
      <scheme val="minor"/>
    </font>
    <font>
      <b/>
      <sz val="11"/>
      <color theme="2"/>
      <name val="Calibri"/>
      <family val="2"/>
      <scheme val="minor"/>
    </font>
    <font>
      <i/>
      <sz val="10"/>
      <color rgb="FF0000FF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AF9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indexed="64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/>
      <right style="medium">
        <color theme="0" tint="-0.14999847407452621"/>
      </right>
      <top/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/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249977111117893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/>
      <diagonal/>
    </border>
  </borders>
  <cellStyleXfs count="5">
    <xf numFmtId="0" fontId="0" fillId="0" borderId="0"/>
    <xf numFmtId="0" fontId="10" fillId="0" borderId="0"/>
    <xf numFmtId="0" fontId="10" fillId="0" borderId="0"/>
    <xf numFmtId="0" fontId="36" fillId="0" borderId="0"/>
    <xf numFmtId="0" fontId="71" fillId="0" borderId="0" applyNumberFormat="0" applyFill="0" applyBorder="0" applyAlignment="0" applyProtection="0"/>
  </cellStyleXfs>
  <cellXfs count="749">
    <xf numFmtId="0" fontId="0" fillId="0" borderId="0" xfId="0"/>
    <xf numFmtId="0" fontId="0" fillId="2" borderId="0" xfId="0" applyFill="1"/>
    <xf numFmtId="0" fontId="3" fillId="0" borderId="2" xfId="0" applyFont="1" applyBorder="1"/>
    <xf numFmtId="0" fontId="0" fillId="0" borderId="2" xfId="0" applyBorder="1"/>
    <xf numFmtId="0" fontId="0" fillId="0" borderId="0" xfId="0" applyAlignment="1">
      <alignment horizontal="left" indent="1"/>
    </xf>
    <xf numFmtId="0" fontId="2" fillId="0" borderId="1" xfId="0" applyFont="1" applyBorder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2" borderId="0" xfId="0" applyFont="1" applyFill="1"/>
    <xf numFmtId="0" fontId="4" fillId="0" borderId="0" xfId="0" applyFont="1"/>
    <xf numFmtId="0" fontId="5" fillId="0" borderId="0" xfId="0" applyFont="1"/>
    <xf numFmtId="0" fontId="6" fillId="2" borderId="0" xfId="0" applyFont="1" applyFill="1"/>
    <xf numFmtId="0" fontId="7" fillId="2" borderId="3" xfId="0" applyFont="1" applyFill="1" applyBorder="1" applyAlignment="1">
      <alignment horizontal="centerContinuous" vertical="center"/>
    </xf>
    <xf numFmtId="0" fontId="6" fillId="2" borderId="3" xfId="0" applyFont="1" applyFill="1" applyBorder="1" applyAlignment="1">
      <alignment horizontal="centerContinuous"/>
    </xf>
    <xf numFmtId="0" fontId="6" fillId="2" borderId="0" xfId="0" applyFont="1" applyFill="1" applyAlignment="1">
      <alignment horizontal="left" vertical="center"/>
    </xf>
    <xf numFmtId="173" fontId="7" fillId="2" borderId="0" xfId="0" applyNumberFormat="1" applyFont="1" applyFill="1" applyAlignment="1">
      <alignment horizontal="center" vertical="center"/>
    </xf>
    <xf numFmtId="174" fontId="7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169" fontId="9" fillId="0" borderId="0" xfId="0" applyNumberFormat="1" applyFont="1" applyAlignment="1">
      <alignment horizontal="right" vertical="center"/>
    </xf>
    <xf numFmtId="169" fontId="9" fillId="0" borderId="6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left" vertical="center" indent="1"/>
    </xf>
    <xf numFmtId="168" fontId="9" fillId="0" borderId="4" xfId="0" applyNumberFormat="1" applyFon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0" fontId="4" fillId="0" borderId="4" xfId="0" applyFont="1" applyBorder="1"/>
    <xf numFmtId="0" fontId="8" fillId="0" borderId="0" xfId="0" applyFont="1" applyAlignment="1">
      <alignment horizontal="left" vertical="center"/>
    </xf>
    <xf numFmtId="169" fontId="10" fillId="0" borderId="0" xfId="0" applyNumberFormat="1" applyFont="1" applyAlignment="1">
      <alignment horizontal="right" vertical="center"/>
    </xf>
    <xf numFmtId="169" fontId="10" fillId="0" borderId="6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169" fontId="12" fillId="0" borderId="0" xfId="0" applyNumberFormat="1" applyFont="1" applyAlignment="1">
      <alignment horizontal="right" vertical="center"/>
    </xf>
    <xf numFmtId="169" fontId="12" fillId="0" borderId="6" xfId="0" applyNumberFormat="1" applyFont="1" applyBorder="1" applyAlignment="1">
      <alignment horizontal="right" vertical="center"/>
    </xf>
    <xf numFmtId="168" fontId="9" fillId="0" borderId="0" xfId="0" applyNumberFormat="1" applyFont="1" applyAlignment="1">
      <alignment horizontal="right" vertical="center"/>
    </xf>
    <xf numFmtId="168" fontId="9" fillId="0" borderId="6" xfId="0" applyNumberFormat="1" applyFont="1" applyBorder="1" applyAlignment="1">
      <alignment horizontal="right" vertical="center"/>
    </xf>
    <xf numFmtId="168" fontId="10" fillId="0" borderId="0" xfId="0" applyNumberFormat="1" applyFont="1" applyAlignment="1">
      <alignment horizontal="right" vertical="center"/>
    </xf>
    <xf numFmtId="168" fontId="10" fillId="0" borderId="6" xfId="0" applyNumberFormat="1" applyFont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172" fontId="12" fillId="0" borderId="0" xfId="0" applyNumberFormat="1" applyFont="1" applyAlignment="1">
      <alignment horizontal="right" vertical="center"/>
    </xf>
    <xf numFmtId="172" fontId="12" fillId="0" borderId="6" xfId="0" applyNumberFormat="1" applyFont="1" applyBorder="1" applyAlignment="1">
      <alignment horizontal="right" vertical="center"/>
    </xf>
    <xf numFmtId="169" fontId="12" fillId="0" borderId="7" xfId="0" applyNumberFormat="1" applyFont="1" applyBorder="1" applyAlignment="1">
      <alignment horizontal="right" vertical="center"/>
    </xf>
    <xf numFmtId="167" fontId="10" fillId="0" borderId="0" xfId="0" applyNumberFormat="1" applyFont="1" applyAlignment="1">
      <alignment horizontal="right" vertical="center"/>
    </xf>
    <xf numFmtId="167" fontId="10" fillId="0" borderId="6" xfId="0" applyNumberFormat="1" applyFont="1" applyBorder="1" applyAlignment="1">
      <alignment horizontal="right" vertical="center"/>
    </xf>
    <xf numFmtId="167" fontId="9" fillId="0" borderId="0" xfId="0" applyNumberFormat="1" applyFont="1" applyAlignment="1">
      <alignment horizontal="right" vertical="center"/>
    </xf>
    <xf numFmtId="167" fontId="9" fillId="0" borderId="6" xfId="0" applyNumberFormat="1" applyFont="1" applyBorder="1" applyAlignment="1">
      <alignment horizontal="right" vertical="center"/>
    </xf>
    <xf numFmtId="168" fontId="9" fillId="0" borderId="0" xfId="0" applyNumberFormat="1" applyFont="1" applyAlignment="1">
      <alignment vertical="center"/>
    </xf>
    <xf numFmtId="168" fontId="9" fillId="0" borderId="6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4" fillId="0" borderId="6" xfId="0" applyFont="1" applyBorder="1"/>
    <xf numFmtId="9" fontId="13" fillId="0" borderId="0" xfId="0" applyNumberFormat="1" applyFont="1"/>
    <xf numFmtId="9" fontId="13" fillId="0" borderId="6" xfId="0" applyNumberFormat="1" applyFont="1" applyBorder="1"/>
    <xf numFmtId="169" fontId="9" fillId="0" borderId="0" xfId="0" applyNumberFormat="1" applyFont="1"/>
    <xf numFmtId="169" fontId="9" fillId="0" borderId="6" xfId="0" applyNumberFormat="1" applyFont="1" applyBorder="1"/>
    <xf numFmtId="171" fontId="14" fillId="0" borderId="4" xfId="0" applyNumberFormat="1" applyFont="1" applyBorder="1"/>
    <xf numFmtId="171" fontId="14" fillId="0" borderId="5" xfId="0" applyNumberFormat="1" applyFont="1" applyBorder="1"/>
    <xf numFmtId="169" fontId="5" fillId="0" borderId="0" xfId="0" applyNumberFormat="1" applyFont="1"/>
    <xf numFmtId="169" fontId="5" fillId="0" borderId="6" xfId="0" applyNumberFormat="1" applyFont="1" applyBorder="1"/>
    <xf numFmtId="170" fontId="4" fillId="0" borderId="0" xfId="0" applyNumberFormat="1" applyFont="1"/>
    <xf numFmtId="170" fontId="4" fillId="0" borderId="6" xfId="0" applyNumberFormat="1" applyFont="1" applyBorder="1"/>
    <xf numFmtId="0" fontId="4" fillId="0" borderId="0" xfId="0" applyFont="1" applyAlignment="1">
      <alignment horizontal="left" indent="1"/>
    </xf>
    <xf numFmtId="0" fontId="4" fillId="0" borderId="2" xfId="0" applyFont="1" applyBorder="1"/>
    <xf numFmtId="0" fontId="11" fillId="0" borderId="0" xfId="0" applyFont="1" applyAlignment="1">
      <alignment horizontal="left" vertical="center" indent="1"/>
    </xf>
    <xf numFmtId="173" fontId="7" fillId="0" borderId="0" xfId="0" applyNumberFormat="1" applyFont="1" applyAlignment="1">
      <alignment horizontal="center" vertical="center"/>
    </xf>
    <xf numFmtId="173" fontId="7" fillId="0" borderId="6" xfId="0" applyNumberFormat="1" applyFont="1" applyBorder="1" applyAlignment="1">
      <alignment horizontal="center" vertical="center"/>
    </xf>
    <xf numFmtId="174" fontId="7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right" vertical="center"/>
    </xf>
    <xf numFmtId="169" fontId="11" fillId="0" borderId="6" xfId="0" applyNumberFormat="1" applyFont="1" applyBorder="1" applyAlignment="1">
      <alignment horizontal="right" vertical="center"/>
    </xf>
    <xf numFmtId="169" fontId="8" fillId="0" borderId="0" xfId="0" applyNumberFormat="1" applyFont="1" applyAlignment="1">
      <alignment horizontal="right" vertical="center"/>
    </xf>
    <xf numFmtId="169" fontId="8" fillId="0" borderId="6" xfId="0" applyNumberFormat="1" applyFont="1" applyBorder="1" applyAlignment="1">
      <alignment horizontal="right" vertical="center"/>
    </xf>
    <xf numFmtId="168" fontId="8" fillId="0" borderId="0" xfId="0" applyNumberFormat="1" applyFont="1" applyAlignment="1">
      <alignment vertical="center"/>
    </xf>
    <xf numFmtId="168" fontId="8" fillId="0" borderId="6" xfId="0" applyNumberFormat="1" applyFont="1" applyBorder="1" applyAlignment="1">
      <alignment vertical="center"/>
    </xf>
    <xf numFmtId="168" fontId="8" fillId="0" borderId="0" xfId="0" applyNumberFormat="1" applyFont="1"/>
    <xf numFmtId="168" fontId="8" fillId="0" borderId="6" xfId="0" applyNumberFormat="1" applyFont="1" applyBorder="1"/>
    <xf numFmtId="0" fontId="4" fillId="0" borderId="0" xfId="0" applyFont="1" applyAlignment="1">
      <alignment horizontal="right"/>
    </xf>
    <xf numFmtId="175" fontId="4" fillId="0" borderId="0" xfId="0" applyNumberFormat="1" applyFont="1"/>
    <xf numFmtId="175" fontId="4" fillId="0" borderId="6" xfId="0" applyNumberFormat="1" applyFont="1" applyBorder="1"/>
    <xf numFmtId="0" fontId="4" fillId="0" borderId="8" xfId="0" applyFont="1" applyBorder="1"/>
    <xf numFmtId="0" fontId="4" fillId="0" borderId="9" xfId="0" applyFont="1" applyBorder="1"/>
    <xf numFmtId="176" fontId="4" fillId="0" borderId="0" xfId="0" applyNumberFormat="1" applyFont="1"/>
    <xf numFmtId="176" fontId="4" fillId="0" borderId="6" xfId="0" applyNumberFormat="1" applyFont="1" applyBorder="1"/>
    <xf numFmtId="176" fontId="14" fillId="0" borderId="0" xfId="0" applyNumberFormat="1" applyFont="1"/>
    <xf numFmtId="39" fontId="9" fillId="0" borderId="0" xfId="0" applyNumberFormat="1" applyFont="1"/>
    <xf numFmtId="39" fontId="9" fillId="0" borderId="6" xfId="0" applyNumberFormat="1" applyFont="1" applyBorder="1"/>
    <xf numFmtId="176" fontId="9" fillId="0" borderId="0" xfId="0" applyNumberFormat="1" applyFont="1"/>
    <xf numFmtId="0" fontId="4" fillId="0" borderId="4" xfId="0" applyFont="1" applyBorder="1" applyAlignment="1">
      <alignment horizontal="left" indent="1"/>
    </xf>
    <xf numFmtId="176" fontId="9" fillId="0" borderId="4" xfId="0" applyNumberFormat="1" applyFont="1" applyBorder="1"/>
    <xf numFmtId="176" fontId="9" fillId="0" borderId="5" xfId="0" applyNumberFormat="1" applyFont="1" applyBorder="1"/>
    <xf numFmtId="176" fontId="14" fillId="0" borderId="6" xfId="0" applyNumberFormat="1" applyFont="1" applyBorder="1"/>
    <xf numFmtId="177" fontId="4" fillId="0" borderId="0" xfId="0" applyNumberFormat="1" applyFont="1"/>
    <xf numFmtId="177" fontId="4" fillId="0" borderId="6" xfId="0" applyNumberFormat="1" applyFont="1" applyBorder="1"/>
    <xf numFmtId="172" fontId="14" fillId="0" borderId="0" xfId="0" applyNumberFormat="1" applyFont="1"/>
    <xf numFmtId="172" fontId="9" fillId="0" borderId="4" xfId="0" applyNumberFormat="1" applyFont="1" applyBorder="1"/>
    <xf numFmtId="172" fontId="9" fillId="0" borderId="5" xfId="0" applyNumberFormat="1" applyFont="1" applyBorder="1"/>
    <xf numFmtId="172" fontId="4" fillId="0" borderId="0" xfId="0" applyNumberFormat="1" applyFont="1"/>
    <xf numFmtId="166" fontId="4" fillId="0" borderId="0" xfId="0" applyNumberFormat="1" applyFont="1"/>
    <xf numFmtId="166" fontId="4" fillId="0" borderId="6" xfId="0" applyNumberFormat="1" applyFont="1" applyBorder="1"/>
    <xf numFmtId="167" fontId="9" fillId="0" borderId="0" xfId="0" applyNumberFormat="1" applyFont="1"/>
    <xf numFmtId="0" fontId="4" fillId="0" borderId="5" xfId="0" applyFont="1" applyBorder="1"/>
    <xf numFmtId="169" fontId="4" fillId="0" borderId="6" xfId="0" applyNumberFormat="1" applyFont="1" applyBorder="1"/>
    <xf numFmtId="168" fontId="4" fillId="0" borderId="6" xfId="0" applyNumberFormat="1" applyFont="1" applyBorder="1"/>
    <xf numFmtId="168" fontId="4" fillId="0" borderId="0" xfId="0" applyNumberFormat="1" applyFont="1"/>
    <xf numFmtId="168" fontId="9" fillId="0" borderId="0" xfId="0" applyNumberFormat="1" applyFont="1"/>
    <xf numFmtId="169" fontId="15" fillId="0" borderId="6" xfId="0" applyNumberFormat="1" applyFont="1" applyBorder="1"/>
    <xf numFmtId="169" fontId="4" fillId="0" borderId="0" xfId="0" applyNumberFormat="1" applyFont="1"/>
    <xf numFmtId="169" fontId="14" fillId="0" borderId="0" xfId="0" applyNumberFormat="1" applyFont="1"/>
    <xf numFmtId="168" fontId="4" fillId="0" borderId="5" xfId="0" applyNumberFormat="1" applyFont="1" applyBorder="1"/>
    <xf numFmtId="168" fontId="4" fillId="0" borderId="4" xfId="0" applyNumberFormat="1" applyFont="1" applyBorder="1"/>
    <xf numFmtId="168" fontId="9" fillId="0" borderId="4" xfId="0" applyNumberFormat="1" applyFont="1" applyBorder="1"/>
    <xf numFmtId="0" fontId="16" fillId="0" borderId="0" xfId="0" applyFont="1"/>
    <xf numFmtId="0" fontId="14" fillId="0" borderId="0" xfId="0" applyFont="1" applyAlignment="1">
      <alignment horizontal="left" indent="1"/>
    </xf>
    <xf numFmtId="0" fontId="5" fillId="0" borderId="2" xfId="0" applyFont="1" applyBorder="1"/>
    <xf numFmtId="168" fontId="9" fillId="0" borderId="6" xfId="0" applyNumberFormat="1" applyFont="1" applyBorder="1"/>
    <xf numFmtId="168" fontId="9" fillId="0" borderId="5" xfId="0" applyNumberFormat="1" applyFont="1" applyBorder="1"/>
    <xf numFmtId="0" fontId="1" fillId="2" borderId="0" xfId="0" applyFont="1" applyFill="1" applyAlignment="1">
      <alignment horizontal="centerContinuous"/>
    </xf>
    <xf numFmtId="0" fontId="2" fillId="0" borderId="0" xfId="0" applyFont="1"/>
    <xf numFmtId="9" fontId="0" fillId="0" borderId="0" xfId="0" applyNumberFormat="1"/>
    <xf numFmtId="167" fontId="17" fillId="0" borderId="0" xfId="0" applyNumberFormat="1" applyFont="1"/>
    <xf numFmtId="165" fontId="17" fillId="0" borderId="0" xfId="0" applyNumberFormat="1" applyFont="1"/>
    <xf numFmtId="170" fontId="0" fillId="0" borderId="0" xfId="0" applyNumberFormat="1"/>
    <xf numFmtId="9" fontId="18" fillId="0" borderId="0" xfId="0" applyNumberFormat="1" applyFont="1"/>
    <xf numFmtId="170" fontId="18" fillId="0" borderId="0" xfId="0" applyNumberFormat="1" applyFont="1"/>
    <xf numFmtId="0" fontId="19" fillId="0" borderId="0" xfId="0" applyFont="1" applyAlignment="1">
      <alignment horizontal="left" indent="2"/>
    </xf>
    <xf numFmtId="0" fontId="19" fillId="0" borderId="0" xfId="0" applyFont="1" applyAlignment="1">
      <alignment horizontal="left" indent="1"/>
    </xf>
    <xf numFmtId="169" fontId="2" fillId="0" borderId="0" xfId="0" applyNumberFormat="1" applyFont="1"/>
    <xf numFmtId="0" fontId="0" fillId="0" borderId="4" xfId="0" applyBorder="1" applyAlignment="1">
      <alignment horizontal="left" indent="1"/>
    </xf>
    <xf numFmtId="169" fontId="17" fillId="0" borderId="0" xfId="0" applyNumberFormat="1" applyFont="1"/>
    <xf numFmtId="169" fontId="18" fillId="0" borderId="0" xfId="0" applyNumberFormat="1" applyFont="1"/>
    <xf numFmtId="168" fontId="17" fillId="0" borderId="0" xfId="0" applyNumberFormat="1" applyFont="1"/>
    <xf numFmtId="168" fontId="17" fillId="0" borderId="4" xfId="0" applyNumberFormat="1" applyFont="1" applyBorder="1"/>
    <xf numFmtId="171" fontId="18" fillId="0" borderId="4" xfId="0" applyNumberFormat="1" applyFont="1" applyBorder="1"/>
    <xf numFmtId="0" fontId="0" fillId="0" borderId="6" xfId="0" applyBorder="1"/>
    <xf numFmtId="169" fontId="18" fillId="0" borderId="6" xfId="0" applyNumberFormat="1" applyFont="1" applyBorder="1"/>
    <xf numFmtId="171" fontId="18" fillId="0" borderId="5" xfId="0" applyNumberFormat="1" applyFont="1" applyBorder="1"/>
    <xf numFmtId="169" fontId="2" fillId="0" borderId="6" xfId="0" applyNumberFormat="1" applyFont="1" applyBorder="1"/>
    <xf numFmtId="169" fontId="17" fillId="0" borderId="6" xfId="0" applyNumberFormat="1" applyFont="1" applyBorder="1"/>
    <xf numFmtId="170" fontId="0" fillId="0" borderId="6" xfId="0" applyNumberFormat="1" applyBorder="1"/>
    <xf numFmtId="0" fontId="19" fillId="0" borderId="2" xfId="0" applyFont="1" applyBorder="1" applyAlignment="1">
      <alignment horizontal="left" indent="1"/>
    </xf>
    <xf numFmtId="0" fontId="0" fillId="0" borderId="8" xfId="0" applyBorder="1"/>
    <xf numFmtId="0" fontId="0" fillId="0" borderId="2" xfId="0" applyBorder="1" applyAlignment="1">
      <alignment horizontal="left" indent="1"/>
    </xf>
    <xf numFmtId="170" fontId="19" fillId="0" borderId="0" xfId="0" applyNumberFormat="1" applyFont="1"/>
    <xf numFmtId="0" fontId="20" fillId="0" borderId="0" xfId="0" applyFont="1"/>
    <xf numFmtId="0" fontId="21" fillId="0" borderId="0" xfId="0" applyFont="1"/>
    <xf numFmtId="0" fontId="22" fillId="2" borderId="0" xfId="0" applyFont="1" applyFill="1"/>
    <xf numFmtId="0" fontId="23" fillId="2" borderId="3" xfId="0" applyFont="1" applyFill="1" applyBorder="1" applyAlignment="1">
      <alignment horizontal="centerContinuous" vertical="center"/>
    </xf>
    <xf numFmtId="0" fontId="22" fillId="2" borderId="3" xfId="0" applyFont="1" applyFill="1" applyBorder="1" applyAlignment="1">
      <alignment horizontal="centerContinuous"/>
    </xf>
    <xf numFmtId="0" fontId="22" fillId="2" borderId="0" xfId="0" applyFont="1" applyFill="1" applyAlignment="1">
      <alignment horizontal="left" vertical="center"/>
    </xf>
    <xf numFmtId="173" fontId="23" fillId="2" borderId="0" xfId="0" applyNumberFormat="1" applyFont="1" applyFill="1" applyAlignment="1">
      <alignment horizontal="center" vertical="center"/>
    </xf>
    <xf numFmtId="174" fontId="23" fillId="2" borderId="0" xfId="0" applyNumberFormat="1" applyFont="1" applyFill="1" applyAlignment="1">
      <alignment horizontal="center" vertical="center"/>
    </xf>
    <xf numFmtId="0" fontId="24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indent="1"/>
    </xf>
    <xf numFmtId="0" fontId="20" fillId="0" borderId="2" xfId="0" applyFont="1" applyBorder="1"/>
    <xf numFmtId="170" fontId="25" fillId="0" borderId="11" xfId="0" applyNumberFormat="1" applyFont="1" applyBorder="1"/>
    <xf numFmtId="0" fontId="26" fillId="0" borderId="0" xfId="0" applyFont="1"/>
    <xf numFmtId="0" fontId="27" fillId="0" borderId="0" xfId="0" applyFont="1"/>
    <xf numFmtId="170" fontId="25" fillId="0" borderId="0" xfId="0" applyNumberFormat="1" applyFont="1"/>
    <xf numFmtId="170" fontId="19" fillId="0" borderId="6" xfId="0" applyNumberFormat="1" applyFont="1" applyBorder="1"/>
    <xf numFmtId="0" fontId="8" fillId="8" borderId="0" xfId="0" applyFont="1" applyFill="1" applyAlignment="1">
      <alignment horizontal="left" vertical="center"/>
    </xf>
    <xf numFmtId="170" fontId="19" fillId="8" borderId="0" xfId="0" applyNumberFormat="1" applyFont="1" applyFill="1"/>
    <xf numFmtId="170" fontId="19" fillId="8" borderId="6" xfId="0" applyNumberFormat="1" applyFont="1" applyFill="1" applyBorder="1"/>
    <xf numFmtId="9" fontId="18" fillId="7" borderId="0" xfId="0" applyNumberFormat="1" applyFont="1" applyFill="1"/>
    <xf numFmtId="169" fontId="0" fillId="0" borderId="0" xfId="0" applyNumberFormat="1"/>
    <xf numFmtId="171" fontId="0" fillId="0" borderId="4" xfId="0" applyNumberFormat="1" applyBorder="1"/>
    <xf numFmtId="40" fontId="0" fillId="0" borderId="0" xfId="0" applyNumberFormat="1"/>
    <xf numFmtId="40" fontId="0" fillId="0" borderId="4" xfId="0" applyNumberFormat="1" applyBorder="1"/>
    <xf numFmtId="170" fontId="0" fillId="0" borderId="2" xfId="0" applyNumberFormat="1" applyBorder="1"/>
    <xf numFmtId="170" fontId="0" fillId="0" borderId="8" xfId="0" applyNumberFormat="1" applyBorder="1"/>
    <xf numFmtId="170" fontId="18" fillId="0" borderId="2" xfId="0" applyNumberFormat="1" applyFont="1" applyBorder="1"/>
    <xf numFmtId="171" fontId="0" fillId="0" borderId="0" xfId="0" applyNumberFormat="1"/>
    <xf numFmtId="4" fontId="0" fillId="0" borderId="0" xfId="0" applyNumberFormat="1"/>
    <xf numFmtId="167" fontId="4" fillId="0" borderId="0" xfId="0" applyNumberFormat="1" applyFont="1"/>
    <xf numFmtId="171" fontId="14" fillId="0" borderId="4" xfId="0" applyNumberFormat="1" applyFont="1" applyBorder="1" applyAlignment="1">
      <alignment horizontal="right" vertical="center"/>
    </xf>
    <xf numFmtId="170" fontId="14" fillId="0" borderId="0" xfId="0" applyNumberFormat="1" applyFont="1"/>
    <xf numFmtId="168" fontId="8" fillId="0" borderId="4" xfId="0" applyNumberFormat="1" applyFont="1" applyBorder="1" applyAlignment="1">
      <alignment horizontal="right" vertical="center"/>
    </xf>
    <xf numFmtId="168" fontId="8" fillId="0" borderId="0" xfId="0" applyNumberFormat="1" applyFont="1" applyAlignment="1">
      <alignment horizontal="right" vertical="center"/>
    </xf>
    <xf numFmtId="168" fontId="14" fillId="0" borderId="0" xfId="0" applyNumberFormat="1" applyFont="1" applyAlignment="1">
      <alignment horizontal="right" vertical="center"/>
    </xf>
    <xf numFmtId="169" fontId="14" fillId="0" borderId="6" xfId="0" applyNumberFormat="1" applyFont="1" applyBorder="1"/>
    <xf numFmtId="178" fontId="14" fillId="0" borderId="6" xfId="0" applyNumberFormat="1" applyFont="1" applyBorder="1"/>
    <xf numFmtId="180" fontId="4" fillId="0" borderId="0" xfId="0" applyNumberFormat="1" applyFont="1" applyAlignment="1">
      <alignment horizontal="left" indent="1"/>
    </xf>
    <xf numFmtId="180" fontId="4" fillId="0" borderId="4" xfId="0" applyNumberFormat="1" applyFont="1" applyBorder="1" applyAlignment="1">
      <alignment horizontal="left" indent="1"/>
    </xf>
    <xf numFmtId="179" fontId="9" fillId="0" borderId="0" xfId="0" applyNumberFormat="1" applyFont="1"/>
    <xf numFmtId="171" fontId="4" fillId="0" borderId="0" xfId="0" applyNumberFormat="1" applyFont="1"/>
    <xf numFmtId="171" fontId="4" fillId="0" borderId="4" xfId="0" applyNumberFormat="1" applyFont="1" applyBorder="1"/>
    <xf numFmtId="9" fontId="4" fillId="0" borderId="4" xfId="0" applyNumberFormat="1" applyFont="1" applyBorder="1"/>
    <xf numFmtId="170" fontId="4" fillId="0" borderId="4" xfId="0" applyNumberFormat="1" applyFont="1" applyBorder="1"/>
    <xf numFmtId="170" fontId="4" fillId="0" borderId="5" xfId="0" applyNumberFormat="1" applyFont="1" applyBorder="1"/>
    <xf numFmtId="9" fontId="4" fillId="7" borderId="4" xfId="0" applyNumberFormat="1" applyFont="1" applyFill="1" applyBorder="1"/>
    <xf numFmtId="179" fontId="9" fillId="7" borderId="6" xfId="0" applyNumberFormat="1" applyFont="1" applyFill="1" applyBorder="1"/>
    <xf numFmtId="181" fontId="4" fillId="0" borderId="0" xfId="0" applyNumberFormat="1" applyFont="1"/>
    <xf numFmtId="0" fontId="4" fillId="0" borderId="0" xfId="0" applyFont="1" applyAlignment="1">
      <alignment horizontal="center"/>
    </xf>
    <xf numFmtId="0" fontId="4" fillId="7" borderId="12" xfId="0" applyFont="1" applyFill="1" applyBorder="1" applyAlignment="1">
      <alignment horizontal="center"/>
    </xf>
    <xf numFmtId="179" fontId="10" fillId="0" borderId="0" xfId="0" applyNumberFormat="1" applyFont="1"/>
    <xf numFmtId="175" fontId="14" fillId="0" borderId="0" xfId="0" applyNumberFormat="1" applyFont="1"/>
    <xf numFmtId="168" fontId="4" fillId="0" borderId="13" xfId="0" applyNumberFormat="1" applyFont="1" applyBorder="1"/>
    <xf numFmtId="168" fontId="4" fillId="0" borderId="10" xfId="0" applyNumberFormat="1" applyFont="1" applyBorder="1"/>
    <xf numFmtId="168" fontId="28" fillId="0" borderId="0" xfId="0" applyNumberFormat="1" applyFont="1"/>
    <xf numFmtId="168" fontId="28" fillId="0" borderId="6" xfId="0" applyNumberFormat="1" applyFont="1" applyBorder="1"/>
    <xf numFmtId="168" fontId="5" fillId="0" borderId="0" xfId="0" applyNumberFormat="1" applyFont="1"/>
    <xf numFmtId="0" fontId="5" fillId="0" borderId="6" xfId="0" applyFont="1" applyBorder="1"/>
    <xf numFmtId="37" fontId="4" fillId="0" borderId="0" xfId="0" applyNumberFormat="1" applyFont="1"/>
    <xf numFmtId="172" fontId="8" fillId="0" borderId="0" xfId="0" applyNumberFormat="1" applyFont="1" applyAlignment="1">
      <alignment horizontal="right" vertical="center"/>
    </xf>
    <xf numFmtId="172" fontId="11" fillId="0" borderId="0" xfId="0" applyNumberFormat="1" applyFont="1" applyAlignment="1">
      <alignment horizontal="right" vertical="center"/>
    </xf>
    <xf numFmtId="172" fontId="8" fillId="0" borderId="0" xfId="0" applyNumberFormat="1" applyFont="1" applyAlignment="1">
      <alignment vertical="center"/>
    </xf>
    <xf numFmtId="172" fontId="8" fillId="0" borderId="0" xfId="0" applyNumberFormat="1" applyFont="1"/>
    <xf numFmtId="168" fontId="4" fillId="0" borderId="14" xfId="0" applyNumberFormat="1" applyFont="1" applyBorder="1"/>
    <xf numFmtId="168" fontId="4" fillId="0" borderId="15" xfId="0" applyNumberFormat="1" applyFont="1" applyBorder="1"/>
    <xf numFmtId="4" fontId="4" fillId="0" borderId="0" xfId="0" applyNumberFormat="1" applyFont="1"/>
    <xf numFmtId="168" fontId="14" fillId="0" borderId="4" xfId="0" applyNumberFormat="1" applyFont="1" applyBorder="1" applyAlignment="1">
      <alignment horizontal="right" vertical="center"/>
    </xf>
    <xf numFmtId="172" fontId="14" fillId="0" borderId="0" xfId="0" applyNumberFormat="1" applyFont="1" applyAlignment="1">
      <alignment horizontal="right" vertical="center"/>
    </xf>
    <xf numFmtId="168" fontId="10" fillId="0" borderId="0" xfId="0" applyNumberFormat="1" applyFont="1"/>
    <xf numFmtId="0" fontId="29" fillId="0" borderId="0" xfId="0" applyFont="1" applyAlignment="1">
      <alignment horizontal="left" vertical="center" indent="1"/>
    </xf>
    <xf numFmtId="168" fontId="14" fillId="0" borderId="0" xfId="0" applyNumberFormat="1" applyFont="1"/>
    <xf numFmtId="169" fontId="30" fillId="0" borderId="0" xfId="0" applyNumberFormat="1" applyFont="1"/>
    <xf numFmtId="9" fontId="0" fillId="0" borderId="6" xfId="0" applyNumberFormat="1" applyBorder="1"/>
    <xf numFmtId="171" fontId="9" fillId="0" borderId="5" xfId="0" applyNumberFormat="1" applyFont="1" applyBorder="1"/>
    <xf numFmtId="169" fontId="12" fillId="0" borderId="6" xfId="0" applyNumberFormat="1" applyFont="1" applyBorder="1"/>
    <xf numFmtId="169" fontId="12" fillId="0" borderId="0" xfId="0" applyNumberFormat="1" applyFont="1"/>
    <xf numFmtId="168" fontId="4" fillId="0" borderId="1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indent="1"/>
    </xf>
    <xf numFmtId="0" fontId="4" fillId="0" borderId="1" xfId="0" applyFont="1" applyBorder="1"/>
    <xf numFmtId="168" fontId="4" fillId="0" borderId="16" xfId="0" applyNumberFormat="1" applyFont="1" applyBorder="1"/>
    <xf numFmtId="168" fontId="4" fillId="0" borderId="1" xfId="0" applyNumberFormat="1" applyFont="1" applyBorder="1"/>
    <xf numFmtId="171" fontId="9" fillId="0" borderId="0" xfId="0" applyNumberFormat="1" applyFont="1" applyAlignment="1">
      <alignment horizontal="right" vertical="center"/>
    </xf>
    <xf numFmtId="171" fontId="9" fillId="0" borderId="6" xfId="0" applyNumberFormat="1" applyFont="1" applyBorder="1" applyAlignment="1">
      <alignment horizontal="right" vertical="center"/>
    </xf>
    <xf numFmtId="170" fontId="9" fillId="0" borderId="0" xfId="0" applyNumberFormat="1" applyFont="1"/>
    <xf numFmtId="0" fontId="9" fillId="0" borderId="0" xfId="0" applyFont="1"/>
    <xf numFmtId="169" fontId="15" fillId="0" borderId="0" xfId="0" applyNumberFormat="1" applyFont="1"/>
    <xf numFmtId="39" fontId="4" fillId="0" borderId="0" xfId="0" applyNumberFormat="1" applyFont="1"/>
    <xf numFmtId="0" fontId="8" fillId="0" borderId="0" xfId="0" applyFont="1"/>
    <xf numFmtId="10" fontId="8" fillId="0" borderId="0" xfId="0" applyNumberFormat="1" applyFont="1" applyAlignment="1">
      <alignment horizontal="right" vertical="center"/>
    </xf>
    <xf numFmtId="167" fontId="8" fillId="0" borderId="0" xfId="0" applyNumberFormat="1" applyFont="1"/>
    <xf numFmtId="0" fontId="22" fillId="2" borderId="0" xfId="0" applyFont="1" applyFill="1" applyAlignment="1">
      <alignment horizontal="right"/>
    </xf>
    <xf numFmtId="169" fontId="14" fillId="0" borderId="5" xfId="0" applyNumberFormat="1" applyFont="1" applyBorder="1"/>
    <xf numFmtId="169" fontId="15" fillId="0" borderId="17" xfId="0" applyNumberFormat="1" applyFont="1" applyBorder="1"/>
    <xf numFmtId="169" fontId="14" fillId="0" borderId="4" xfId="0" applyNumberFormat="1" applyFont="1" applyBorder="1"/>
    <xf numFmtId="169" fontId="15" fillId="0" borderId="7" xfId="0" applyNumberFormat="1" applyFont="1" applyBorder="1"/>
    <xf numFmtId="10" fontId="14" fillId="0" borderId="0" xfId="0" applyNumberFormat="1" applyFont="1"/>
    <xf numFmtId="168" fontId="14" fillId="0" borderId="4" xfId="0" applyNumberFormat="1" applyFont="1" applyBorder="1"/>
    <xf numFmtId="169" fontId="4" fillId="0" borderId="0" xfId="0" applyNumberFormat="1" applyFont="1" applyAlignment="1">
      <alignment horizontal="right"/>
    </xf>
    <xf numFmtId="168" fontId="14" fillId="0" borderId="6" xfId="0" applyNumberFormat="1" applyFont="1" applyBorder="1"/>
    <xf numFmtId="9" fontId="32" fillId="0" borderId="0" xfId="0" applyNumberFormat="1" applyFont="1"/>
    <xf numFmtId="170" fontId="33" fillId="0" borderId="11" xfId="0" applyNumberFormat="1" applyFont="1" applyBorder="1"/>
    <xf numFmtId="170" fontId="33" fillId="0" borderId="0" xfId="0" applyNumberFormat="1" applyFont="1"/>
    <xf numFmtId="0" fontId="4" fillId="0" borderId="11" xfId="0" applyFont="1" applyBorder="1" applyAlignment="1">
      <alignment horizontal="center"/>
    </xf>
    <xf numFmtId="168" fontId="14" fillId="0" borderId="10" xfId="0" applyNumberFormat="1" applyFont="1" applyBorder="1"/>
    <xf numFmtId="0" fontId="0" fillId="7" borderId="0" xfId="0" applyFill="1"/>
    <xf numFmtId="167" fontId="17" fillId="7" borderId="0" xfId="0" applyNumberFormat="1" applyFont="1" applyFill="1"/>
    <xf numFmtId="0" fontId="34" fillId="0" borderId="0" xfId="0" applyFont="1" applyAlignment="1">
      <alignment horizontal="left" vertical="center" indent="1"/>
    </xf>
    <xf numFmtId="167" fontId="34" fillId="0" borderId="0" xfId="0" applyNumberFormat="1" applyFont="1" applyAlignment="1">
      <alignment horizontal="right" vertical="center"/>
    </xf>
    <xf numFmtId="167" fontId="34" fillId="0" borderId="6" xfId="0" applyNumberFormat="1" applyFont="1" applyBorder="1" applyAlignment="1">
      <alignment horizontal="right" vertical="center"/>
    </xf>
    <xf numFmtId="167" fontId="4" fillId="8" borderId="0" xfId="0" applyNumberFormat="1" applyFont="1" applyFill="1"/>
    <xf numFmtId="167" fontId="34" fillId="8" borderId="0" xfId="0" applyNumberFormat="1" applyFont="1" applyFill="1"/>
    <xf numFmtId="170" fontId="13" fillId="0" borderId="0" xfId="0" applyNumberFormat="1" applyFont="1"/>
    <xf numFmtId="170" fontId="13" fillId="0" borderId="6" xfId="0" applyNumberFormat="1" applyFont="1" applyBorder="1"/>
    <xf numFmtId="9" fontId="4" fillId="0" borderId="0" xfId="0" applyNumberFormat="1" applyFont="1"/>
    <xf numFmtId="170" fontId="4" fillId="8" borderId="0" xfId="0" applyNumberFormat="1" applyFont="1" applyFill="1"/>
    <xf numFmtId="170" fontId="34" fillId="8" borderId="0" xfId="0" applyNumberFormat="1" applyFont="1" applyFill="1"/>
    <xf numFmtId="165" fontId="4" fillId="0" borderId="0" xfId="0" applyNumberFormat="1" applyFont="1"/>
    <xf numFmtId="165" fontId="4" fillId="0" borderId="1" xfId="0" applyNumberFormat="1" applyFont="1" applyBorder="1"/>
    <xf numFmtId="165" fontId="5" fillId="8" borderId="0" xfId="0" applyNumberFormat="1" applyFont="1" applyFill="1"/>
    <xf numFmtId="169" fontId="4" fillId="0" borderId="4" xfId="0" applyNumberFormat="1" applyFont="1" applyBorder="1"/>
    <xf numFmtId="172" fontId="14" fillId="0" borderId="6" xfId="0" applyNumberFormat="1" applyFont="1" applyBorder="1"/>
    <xf numFmtId="0" fontId="20" fillId="0" borderId="0" xfId="0" applyFont="1" applyAlignment="1">
      <alignment horizontal="center"/>
    </xf>
    <xf numFmtId="170" fontId="35" fillId="0" borderId="11" xfId="0" applyNumberFormat="1" applyFont="1" applyBorder="1"/>
    <xf numFmtId="170" fontId="20" fillId="0" borderId="11" xfId="0" applyNumberFormat="1" applyFont="1" applyBorder="1"/>
    <xf numFmtId="4" fontId="4" fillId="0" borderId="6" xfId="0" applyNumberFormat="1" applyFont="1" applyBorder="1"/>
    <xf numFmtId="4" fontId="8" fillId="0" borderId="4" xfId="0" applyNumberFormat="1" applyFont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Continuous"/>
    </xf>
    <xf numFmtId="167" fontId="0" fillId="0" borderId="0" xfId="0" applyNumberFormat="1"/>
    <xf numFmtId="0" fontId="0" fillId="0" borderId="1" xfId="0" applyBorder="1"/>
    <xf numFmtId="0" fontId="38" fillId="0" borderId="1" xfId="1" applyFont="1" applyBorder="1"/>
    <xf numFmtId="0" fontId="38" fillId="0" borderId="0" xfId="1" applyFont="1"/>
    <xf numFmtId="0" fontId="39" fillId="0" borderId="18" xfId="1" applyFont="1" applyBorder="1" applyAlignment="1">
      <alignment horizontal="center"/>
    </xf>
    <xf numFmtId="0" fontId="39" fillId="0" borderId="23" xfId="1" applyFont="1" applyBorder="1" applyAlignment="1">
      <alignment horizontal="centerContinuous"/>
    </xf>
    <xf numFmtId="0" fontId="39" fillId="0" borderId="24" xfId="1" applyFont="1" applyBorder="1" applyAlignment="1">
      <alignment horizontal="centerContinuous"/>
    </xf>
    <xf numFmtId="0" fontId="39" fillId="0" borderId="18" xfId="1" applyFont="1" applyBorder="1" applyAlignment="1">
      <alignment horizontal="centerContinuous"/>
    </xf>
    <xf numFmtId="0" fontId="39" fillId="0" borderId="20" xfId="1" applyFont="1" applyBorder="1" applyAlignment="1">
      <alignment horizontal="centerContinuous"/>
    </xf>
    <xf numFmtId="0" fontId="39" fillId="0" borderId="25" xfId="1" applyFont="1" applyBorder="1" applyAlignment="1">
      <alignment horizontal="center"/>
    </xf>
    <xf numFmtId="0" fontId="39" fillId="0" borderId="21" xfId="1" applyFont="1" applyBorder="1"/>
    <xf numFmtId="0" fontId="39" fillId="0" borderId="1" xfId="1" applyFont="1" applyBorder="1" applyAlignment="1">
      <alignment horizontal="center"/>
    </xf>
    <xf numFmtId="0" fontId="39" fillId="0" borderId="22" xfId="1" applyFont="1" applyBorder="1" applyAlignment="1">
      <alignment horizontal="center"/>
    </xf>
    <xf numFmtId="0" fontId="39" fillId="0" borderId="26" xfId="1" applyFont="1" applyBorder="1" applyAlignment="1">
      <alignment horizontal="center"/>
    </xf>
    <xf numFmtId="0" fontId="39" fillId="0" borderId="0" xfId="1" applyFont="1"/>
    <xf numFmtId="183" fontId="39" fillId="0" borderId="0" xfId="1" applyNumberFormat="1" applyFont="1" applyAlignment="1">
      <alignment horizontal="center"/>
    </xf>
    <xf numFmtId="183" fontId="39" fillId="0" borderId="0" xfId="1" applyNumberFormat="1" applyFont="1" applyAlignment="1">
      <alignment horizontal="right"/>
    </xf>
    <xf numFmtId="167" fontId="41" fillId="0" borderId="0" xfId="1" applyNumberFormat="1" applyFont="1" applyAlignment="1">
      <alignment horizontal="center"/>
    </xf>
    <xf numFmtId="168" fontId="38" fillId="0" borderId="0" xfId="1" applyNumberFormat="1" applyFont="1"/>
    <xf numFmtId="0" fontId="42" fillId="0" borderId="0" xfId="1" applyFont="1"/>
    <xf numFmtId="184" fontId="43" fillId="0" borderId="1" xfId="1" applyNumberFormat="1" applyFont="1" applyBorder="1" applyAlignment="1">
      <alignment horizontal="center"/>
    </xf>
    <xf numFmtId="164" fontId="38" fillId="0" borderId="1" xfId="1" applyNumberFormat="1" applyFont="1" applyBorder="1"/>
    <xf numFmtId="0" fontId="38" fillId="0" borderId="11" xfId="1" applyFont="1" applyBorder="1" applyAlignment="1">
      <alignment horizontal="center"/>
    </xf>
    <xf numFmtId="9" fontId="38" fillId="0" borderId="0" xfId="1" applyNumberFormat="1" applyFont="1"/>
    <xf numFmtId="9" fontId="38" fillId="0" borderId="0" xfId="1" applyNumberFormat="1" applyFont="1" applyAlignment="1">
      <alignment horizontal="center"/>
    </xf>
    <xf numFmtId="167" fontId="40" fillId="0" borderId="0" xfId="1" applyNumberFormat="1" applyFont="1" applyAlignment="1">
      <alignment horizontal="center"/>
    </xf>
    <xf numFmtId="9" fontId="44" fillId="0" borderId="0" xfId="1" applyNumberFormat="1" applyFont="1" applyAlignment="1">
      <alignment horizontal="center"/>
    </xf>
    <xf numFmtId="0" fontId="45" fillId="0" borderId="0" xfId="1" applyFont="1" applyAlignment="1">
      <alignment horizontal="left"/>
    </xf>
    <xf numFmtId="165" fontId="38" fillId="0" borderId="0" xfId="1" applyNumberFormat="1" applyFont="1"/>
    <xf numFmtId="0" fontId="38" fillId="0" borderId="0" xfId="1" applyFont="1" applyAlignment="1">
      <alignment horizontal="center"/>
    </xf>
    <xf numFmtId="183" fontId="39" fillId="0" borderId="0" xfId="1" applyNumberFormat="1" applyFont="1" applyAlignment="1">
      <alignment horizontal="left" indent="5"/>
    </xf>
    <xf numFmtId="165" fontId="41" fillId="0" borderId="0" xfId="1" applyNumberFormat="1" applyFont="1" applyAlignment="1">
      <alignment horizontal="center"/>
    </xf>
    <xf numFmtId="184" fontId="38" fillId="0" borderId="1" xfId="1" applyNumberFormat="1" applyFont="1" applyBorder="1" applyAlignment="1">
      <alignment horizontal="center"/>
    </xf>
    <xf numFmtId="183" fontId="38" fillId="0" borderId="0" xfId="1" applyNumberFormat="1" applyFont="1"/>
    <xf numFmtId="170" fontId="38" fillId="0" borderId="0" xfId="1" applyNumberFormat="1" applyFont="1"/>
    <xf numFmtId="167" fontId="38" fillId="0" borderId="0" xfId="1" applyNumberFormat="1" applyFont="1" applyAlignment="1">
      <alignment horizontal="center"/>
    </xf>
    <xf numFmtId="166" fontId="38" fillId="0" borderId="0" xfId="1" applyNumberFormat="1" applyFont="1" applyAlignment="1">
      <alignment horizontal="center"/>
    </xf>
    <xf numFmtId="166" fontId="38" fillId="0" borderId="0" xfId="1" applyNumberFormat="1" applyFont="1"/>
    <xf numFmtId="0" fontId="46" fillId="0" borderId="0" xfId="1" applyFont="1"/>
    <xf numFmtId="0" fontId="47" fillId="0" borderId="0" xfId="1" applyFont="1"/>
    <xf numFmtId="183" fontId="42" fillId="0" borderId="0" xfId="1" applyNumberFormat="1" applyFont="1" applyAlignment="1">
      <alignment horizontal="left"/>
    </xf>
    <xf numFmtId="183" fontId="38" fillId="0" borderId="0" xfId="1" applyNumberFormat="1" applyFont="1" applyAlignment="1">
      <alignment horizontal="center"/>
    </xf>
    <xf numFmtId="183" fontId="48" fillId="0" borderId="18" xfId="1" applyNumberFormat="1" applyFont="1" applyBorder="1" applyAlignment="1">
      <alignment horizontal="left"/>
    </xf>
    <xf numFmtId="0" fontId="49" fillId="0" borderId="19" xfId="0" applyFont="1" applyBorder="1"/>
    <xf numFmtId="0" fontId="36" fillId="0" borderId="19" xfId="0" applyFont="1" applyBorder="1"/>
    <xf numFmtId="183" fontId="38" fillId="0" borderId="20" xfId="1" applyNumberFormat="1" applyFont="1" applyBorder="1" applyAlignment="1">
      <alignment horizontal="center"/>
    </xf>
    <xf numFmtId="0" fontId="39" fillId="0" borderId="18" xfId="1" applyFont="1" applyBorder="1"/>
    <xf numFmtId="0" fontId="38" fillId="0" borderId="19" xfId="1" applyFont="1" applyBorder="1"/>
    <xf numFmtId="0" fontId="39" fillId="0" borderId="23" xfId="1" applyFont="1" applyBorder="1" applyAlignment="1">
      <alignment horizontal="right"/>
    </xf>
    <xf numFmtId="0" fontId="39" fillId="0" borderId="24" xfId="1" applyFont="1" applyBorder="1" applyAlignment="1">
      <alignment horizontal="center"/>
    </xf>
    <xf numFmtId="0" fontId="45" fillId="0" borderId="0" xfId="1" applyFont="1" applyAlignment="1">
      <alignment horizontal="center"/>
    </xf>
    <xf numFmtId="0" fontId="49" fillId="0" borderId="21" xfId="0" applyFont="1" applyBorder="1"/>
    <xf numFmtId="0" fontId="49" fillId="0" borderId="1" xfId="0" applyFont="1" applyBorder="1"/>
    <xf numFmtId="0" fontId="36" fillId="0" borderId="1" xfId="0" applyFont="1" applyBorder="1"/>
    <xf numFmtId="183" fontId="38" fillId="0" borderId="22" xfId="1" applyNumberFormat="1" applyFont="1" applyBorder="1" applyAlignment="1">
      <alignment horizontal="center"/>
    </xf>
    <xf numFmtId="0" fontId="38" fillId="0" borderId="21" xfId="1" applyFont="1" applyBorder="1"/>
    <xf numFmtId="14" fontId="39" fillId="0" borderId="1" xfId="1" applyNumberFormat="1" applyFont="1" applyBorder="1" applyAlignment="1">
      <alignment horizontal="right"/>
    </xf>
    <xf numFmtId="14" fontId="39" fillId="0" borderId="1" xfId="1" quotePrefix="1" applyNumberFormat="1" applyFont="1" applyBorder="1" applyAlignment="1">
      <alignment horizontal="right"/>
    </xf>
    <xf numFmtId="14" fontId="39" fillId="0" borderId="22" xfId="1" quotePrefix="1" applyNumberFormat="1" applyFont="1" applyBorder="1" applyAlignment="1">
      <alignment horizontal="center"/>
    </xf>
    <xf numFmtId="14" fontId="45" fillId="0" borderId="0" xfId="1" quotePrefix="1" applyNumberFormat="1" applyFont="1" applyAlignment="1">
      <alignment horizontal="center"/>
    </xf>
    <xf numFmtId="0" fontId="46" fillId="0" borderId="1" xfId="1" applyFont="1" applyBorder="1"/>
    <xf numFmtId="185" fontId="40" fillId="0" borderId="0" xfId="1" applyNumberFormat="1" applyFont="1"/>
    <xf numFmtId="172" fontId="50" fillId="0" borderId="0" xfId="1" applyNumberFormat="1" applyFont="1"/>
    <xf numFmtId="0" fontId="38" fillId="0" borderId="11" xfId="1" applyFont="1" applyBorder="1"/>
    <xf numFmtId="186" fontId="51" fillId="0" borderId="0" xfId="1" applyNumberFormat="1" applyFont="1"/>
    <xf numFmtId="0" fontId="38" fillId="0" borderId="0" xfId="1" applyFont="1" applyAlignment="1">
      <alignment horizontal="left" indent="1"/>
    </xf>
    <xf numFmtId="168" fontId="50" fillId="0" borderId="0" xfId="1" applyNumberFormat="1" applyFont="1"/>
    <xf numFmtId="186" fontId="43" fillId="0" borderId="0" xfId="1" applyNumberFormat="1" applyFont="1"/>
    <xf numFmtId="168" fontId="39" fillId="0" borderId="0" xfId="1" applyNumberFormat="1" applyFont="1"/>
    <xf numFmtId="0" fontId="38" fillId="0" borderId="23" xfId="1" applyFont="1" applyBorder="1"/>
    <xf numFmtId="186" fontId="38" fillId="0" borderId="23" xfId="1" applyNumberFormat="1" applyFont="1" applyBorder="1"/>
    <xf numFmtId="167" fontId="38" fillId="0" borderId="0" xfId="1" applyNumberFormat="1" applyFont="1"/>
    <xf numFmtId="3" fontId="53" fillId="0" borderId="0" xfId="1" applyNumberFormat="1" applyFont="1"/>
    <xf numFmtId="184" fontId="40" fillId="0" borderId="0" xfId="1" applyNumberFormat="1" applyFont="1"/>
    <xf numFmtId="187" fontId="38" fillId="0" borderId="0" xfId="1" applyNumberFormat="1" applyFont="1"/>
    <xf numFmtId="0" fontId="39" fillId="0" borderId="0" xfId="1" applyFont="1" applyAlignment="1">
      <alignment horizontal="left" indent="1"/>
    </xf>
    <xf numFmtId="172" fontId="38" fillId="0" borderId="0" xfId="1" applyNumberFormat="1" applyFont="1"/>
    <xf numFmtId="4" fontId="38" fillId="0" borderId="0" xfId="1" applyNumberFormat="1" applyFont="1"/>
    <xf numFmtId="0" fontId="38" fillId="11" borderId="0" xfId="1" applyFont="1" applyFill="1" applyAlignment="1">
      <alignment horizontal="left" indent="1"/>
    </xf>
    <xf numFmtId="0" fontId="38" fillId="11" borderId="0" xfId="1" applyFont="1" applyFill="1"/>
    <xf numFmtId="0" fontId="50" fillId="0" borderId="0" xfId="1" applyFont="1" applyAlignment="1">
      <alignment horizontal="left" indent="1"/>
    </xf>
    <xf numFmtId="172" fontId="39" fillId="0" borderId="0" xfId="1" applyNumberFormat="1" applyFont="1"/>
    <xf numFmtId="184" fontId="40" fillId="0" borderId="1" xfId="1" applyNumberFormat="1" applyFont="1" applyBorder="1"/>
    <xf numFmtId="184" fontId="38" fillId="0" borderId="0" xfId="1" applyNumberFormat="1" applyFont="1"/>
    <xf numFmtId="0" fontId="39" fillId="0" borderId="27" xfId="1" applyFont="1" applyBorder="1"/>
    <xf numFmtId="167" fontId="39" fillId="0" borderId="24" xfId="1" applyNumberFormat="1" applyFont="1" applyBorder="1"/>
    <xf numFmtId="4" fontId="40" fillId="0" borderId="0" xfId="1" applyNumberFormat="1" applyFont="1"/>
    <xf numFmtId="37" fontId="38" fillId="0" borderId="11" xfId="1" applyNumberFormat="1" applyFont="1" applyBorder="1"/>
    <xf numFmtId="0" fontId="39" fillId="0" borderId="19" xfId="1" applyFont="1" applyBorder="1" applyAlignment="1">
      <alignment horizontal="left"/>
    </xf>
    <xf numFmtId="0" fontId="39" fillId="0" borderId="19" xfId="1" applyFont="1" applyBorder="1" applyAlignment="1">
      <alignment horizontal="center"/>
    </xf>
    <xf numFmtId="0" fontId="39" fillId="0" borderId="1" xfId="1" applyFont="1" applyBorder="1" applyAlignment="1">
      <alignment horizontal="left"/>
    </xf>
    <xf numFmtId="40" fontId="40" fillId="0" borderId="0" xfId="1" applyNumberFormat="1" applyFont="1" applyAlignment="1">
      <alignment horizontal="left" indent="1"/>
    </xf>
    <xf numFmtId="167" fontId="40" fillId="0" borderId="0" xfId="1" applyNumberFormat="1" applyFont="1" applyAlignment="1">
      <alignment horizontal="right"/>
    </xf>
    <xf numFmtId="40" fontId="38" fillId="0" borderId="0" xfId="1" applyNumberFormat="1" applyFont="1" applyAlignment="1">
      <alignment horizontal="right"/>
    </xf>
    <xf numFmtId="40" fontId="40" fillId="0" borderId="0" xfId="1" applyNumberFormat="1" applyFont="1" applyAlignment="1">
      <alignment horizontal="right"/>
    </xf>
    <xf numFmtId="171" fontId="38" fillId="0" borderId="0" xfId="1" applyNumberFormat="1" applyFont="1" applyAlignment="1">
      <alignment horizontal="right"/>
    </xf>
    <xf numFmtId="4" fontId="41" fillId="0" borderId="0" xfId="1" applyNumberFormat="1" applyFont="1"/>
    <xf numFmtId="188" fontId="38" fillId="0" borderId="0" xfId="1" applyNumberFormat="1" applyFont="1" applyAlignment="1">
      <alignment horizontal="right"/>
    </xf>
    <xf numFmtId="4" fontId="39" fillId="0" borderId="27" xfId="1" applyNumberFormat="1" applyFont="1" applyBorder="1" applyAlignment="1">
      <alignment horizontal="left" indent="1"/>
    </xf>
    <xf numFmtId="0" fontId="39" fillId="0" borderId="23" xfId="1" applyFont="1" applyBorder="1"/>
    <xf numFmtId="189" fontId="39" fillId="0" borderId="24" xfId="1" applyNumberFormat="1" applyFont="1" applyBorder="1"/>
    <xf numFmtId="170" fontId="38" fillId="0" borderId="0" xfId="1" applyNumberFormat="1" applyFont="1" applyAlignment="1">
      <alignment horizontal="right"/>
    </xf>
    <xf numFmtId="0" fontId="38" fillId="0" borderId="2" xfId="1" applyFont="1" applyBorder="1"/>
    <xf numFmtId="39" fontId="38" fillId="0" borderId="0" xfId="1" applyNumberFormat="1" applyFont="1"/>
    <xf numFmtId="0" fontId="54" fillId="0" borderId="0" xfId="0" applyFont="1"/>
    <xf numFmtId="0" fontId="35" fillId="0" borderId="0" xfId="0" applyFont="1"/>
    <xf numFmtId="0" fontId="35" fillId="0" borderId="0" xfId="0" applyFont="1" applyAlignment="1">
      <alignment horizontal="center"/>
    </xf>
    <xf numFmtId="0" fontId="10" fillId="0" borderId="0" xfId="0" applyFont="1"/>
    <xf numFmtId="0" fontId="55" fillId="0" borderId="0" xfId="0" applyFont="1" applyAlignment="1">
      <alignment horizontal="left"/>
    </xf>
    <xf numFmtId="0" fontId="55" fillId="0" borderId="0" xfId="0" applyFont="1" applyAlignment="1">
      <alignment horizontal="right"/>
    </xf>
    <xf numFmtId="0" fontId="55" fillId="0" borderId="0" xfId="0" applyFont="1" applyAlignment="1">
      <alignment horizontal="center"/>
    </xf>
    <xf numFmtId="0" fontId="2" fillId="0" borderId="1" xfId="0" applyFont="1" applyBorder="1" applyAlignment="1">
      <alignment horizontal="centerContinuous"/>
    </xf>
    <xf numFmtId="167" fontId="18" fillId="12" borderId="11" xfId="0" applyNumberFormat="1" applyFont="1" applyFill="1" applyBorder="1"/>
    <xf numFmtId="0" fontId="2" fillId="10" borderId="0" xfId="0" applyFont="1" applyFill="1"/>
    <xf numFmtId="0" fontId="56" fillId="0" borderId="0" xfId="0" applyFont="1"/>
    <xf numFmtId="0" fontId="57" fillId="0" borderId="0" xfId="0" applyFont="1"/>
    <xf numFmtId="167" fontId="0" fillId="0" borderId="1" xfId="0" applyNumberFormat="1" applyBorder="1"/>
    <xf numFmtId="0" fontId="57" fillId="2" borderId="0" xfId="0" applyFont="1" applyFill="1"/>
    <xf numFmtId="0" fontId="37" fillId="2" borderId="3" xfId="0" applyFont="1" applyFill="1" applyBorder="1" applyAlignment="1">
      <alignment horizontal="centerContinuous"/>
    </xf>
    <xf numFmtId="167" fontId="2" fillId="0" borderId="0" xfId="0" applyNumberFormat="1" applyFont="1"/>
    <xf numFmtId="0" fontId="47" fillId="0" borderId="1" xfId="1" applyFont="1" applyBorder="1"/>
    <xf numFmtId="167" fontId="58" fillId="0" borderId="1" xfId="0" applyNumberFormat="1" applyFont="1" applyBorder="1" applyAlignment="1">
      <alignment horizontal="center"/>
    </xf>
    <xf numFmtId="169" fontId="59" fillId="0" borderId="1" xfId="0" applyNumberFormat="1" applyFont="1" applyBorder="1" applyAlignment="1">
      <alignment horizontal="center"/>
    </xf>
    <xf numFmtId="169" fontId="58" fillId="0" borderId="1" xfId="0" applyNumberFormat="1" applyFont="1" applyBorder="1" applyAlignment="1">
      <alignment horizontal="center"/>
    </xf>
    <xf numFmtId="183" fontId="61" fillId="0" borderId="1" xfId="0" applyNumberFormat="1" applyFont="1" applyBorder="1" applyAlignment="1">
      <alignment horizontal="center" vertical="center"/>
    </xf>
    <xf numFmtId="183" fontId="58" fillId="0" borderId="1" xfId="0" applyNumberFormat="1" applyFont="1" applyBorder="1" applyAlignment="1">
      <alignment horizontal="center" vertical="center"/>
    </xf>
    <xf numFmtId="165" fontId="58" fillId="0" borderId="1" xfId="0" applyNumberFormat="1" applyFont="1" applyBorder="1" applyAlignment="1">
      <alignment horizontal="right"/>
    </xf>
    <xf numFmtId="0" fontId="58" fillId="0" borderId="1" xfId="0" applyFont="1" applyBorder="1" applyAlignment="1">
      <alignment horizontal="center" vertical="center"/>
    </xf>
    <xf numFmtId="167" fontId="62" fillId="0" borderId="0" xfId="0" applyNumberFormat="1" applyFont="1" applyAlignment="1">
      <alignment horizontal="center"/>
    </xf>
    <xf numFmtId="183" fontId="62" fillId="0" borderId="0" xfId="0" applyNumberFormat="1" applyFont="1" applyAlignment="1">
      <alignment horizontal="center" vertical="center"/>
    </xf>
    <xf numFmtId="165" fontId="62" fillId="0" borderId="0" xfId="0" applyNumberFormat="1" applyFont="1" applyAlignment="1">
      <alignment horizontal="right"/>
    </xf>
    <xf numFmtId="0" fontId="62" fillId="0" borderId="0" xfId="0" applyFont="1" applyAlignment="1">
      <alignment horizontal="center" vertical="center"/>
    </xf>
    <xf numFmtId="0" fontId="47" fillId="0" borderId="0" xfId="1" applyFont="1" applyAlignment="1">
      <alignment horizontal="left"/>
    </xf>
    <xf numFmtId="37" fontId="60" fillId="0" borderId="1" xfId="0" applyNumberFormat="1" applyFont="1" applyBorder="1" applyAlignment="1">
      <alignment horizontal="right"/>
    </xf>
    <xf numFmtId="37" fontId="60" fillId="0" borderId="1" xfId="0" applyNumberFormat="1" applyFont="1" applyBorder="1" applyAlignment="1">
      <alignment horizontal="center"/>
    </xf>
    <xf numFmtId="0" fontId="46" fillId="0" borderId="0" xfId="1" applyFont="1" applyAlignment="1">
      <alignment horizontal="left"/>
    </xf>
    <xf numFmtId="167" fontId="62" fillId="0" borderId="0" xfId="0" applyNumberFormat="1" applyFont="1" applyAlignment="1">
      <alignment horizontal="center" vertical="center"/>
    </xf>
    <xf numFmtId="4" fontId="60" fillId="0" borderId="0" xfId="0" applyNumberFormat="1" applyFont="1" applyAlignment="1">
      <alignment horizontal="right"/>
    </xf>
    <xf numFmtId="167" fontId="46" fillId="0" borderId="19" xfId="1" applyNumberFormat="1" applyFont="1" applyBorder="1" applyAlignment="1">
      <alignment horizontal="right"/>
    </xf>
    <xf numFmtId="0" fontId="58" fillId="0" borderId="28" xfId="0" applyFont="1" applyBorder="1" applyAlignment="1">
      <alignment horizontal="left"/>
    </xf>
    <xf numFmtId="0" fontId="0" fillId="0" borderId="28" xfId="0" applyBorder="1"/>
    <xf numFmtId="188" fontId="19" fillId="0" borderId="28" xfId="0" applyNumberFormat="1" applyFont="1" applyBorder="1" applyAlignment="1">
      <alignment horizontal="right"/>
    </xf>
    <xf numFmtId="0" fontId="0" fillId="0" borderId="28" xfId="0" applyBorder="1" applyAlignment="1">
      <alignment horizontal="center"/>
    </xf>
    <xf numFmtId="0" fontId="0" fillId="11" borderId="0" xfId="0" applyFill="1"/>
    <xf numFmtId="165" fontId="58" fillId="0" borderId="1" xfId="0" applyNumberFormat="1" applyFont="1" applyBorder="1"/>
    <xf numFmtId="165" fontId="62" fillId="0" borderId="0" xfId="0" applyNumberFormat="1" applyFont="1" applyAlignment="1">
      <alignment horizontal="center"/>
    </xf>
    <xf numFmtId="4" fontId="47" fillId="0" borderId="0" xfId="0" applyNumberFormat="1" applyFont="1" applyAlignment="1">
      <alignment horizontal="center" vertical="center"/>
    </xf>
    <xf numFmtId="4" fontId="58" fillId="0" borderId="0" xfId="0" applyNumberFormat="1" applyFont="1" applyAlignment="1">
      <alignment horizontal="center" vertical="center"/>
    </xf>
    <xf numFmtId="165" fontId="62" fillId="0" borderId="0" xfId="0" applyNumberFormat="1" applyFont="1"/>
    <xf numFmtId="4" fontId="60" fillId="0" borderId="0" xfId="0" applyNumberFormat="1" applyFont="1"/>
    <xf numFmtId="167" fontId="46" fillId="0" borderId="19" xfId="1" applyNumberFormat="1" applyFont="1" applyBorder="1"/>
    <xf numFmtId="167" fontId="63" fillId="0" borderId="1" xfId="0" applyNumberFormat="1" applyFont="1" applyBorder="1" applyAlignment="1">
      <alignment horizontal="center"/>
    </xf>
    <xf numFmtId="167" fontId="58" fillId="0" borderId="1" xfId="0" applyNumberFormat="1" applyFont="1" applyBorder="1" applyAlignment="1">
      <alignment horizontal="right"/>
    </xf>
    <xf numFmtId="183" fontId="58" fillId="0" borderId="0" xfId="0" applyNumberFormat="1" applyFont="1" applyAlignment="1">
      <alignment horizontal="center" vertical="center"/>
    </xf>
    <xf numFmtId="188" fontId="0" fillId="0" borderId="28" xfId="0" applyNumberFormat="1" applyBorder="1" applyAlignment="1">
      <alignment horizontal="right"/>
    </xf>
    <xf numFmtId="0" fontId="58" fillId="0" borderId="0" xfId="0" applyFont="1" applyAlignment="1">
      <alignment horizontal="center" vertical="center"/>
    </xf>
    <xf numFmtId="167" fontId="58" fillId="0" borderId="0" xfId="0" applyNumberFormat="1" applyFont="1" applyAlignment="1">
      <alignment horizontal="center" vertical="center"/>
    </xf>
    <xf numFmtId="167" fontId="47" fillId="0" borderId="19" xfId="1" applyNumberFormat="1" applyFont="1" applyBorder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3" xfId="0" applyFont="1" applyFill="1" applyBorder="1" applyAlignment="1">
      <alignment horizontal="centerContinuous"/>
    </xf>
    <xf numFmtId="182" fontId="7" fillId="2" borderId="0" xfId="0" applyNumberFormat="1" applyFont="1" applyFill="1" applyAlignment="1">
      <alignment horizontal="center"/>
    </xf>
    <xf numFmtId="0" fontId="12" fillId="0" borderId="0" xfId="0" applyFont="1"/>
    <xf numFmtId="0" fontId="10" fillId="0" borderId="0" xfId="0" applyFont="1" applyAlignment="1">
      <alignment horizontal="center"/>
    </xf>
    <xf numFmtId="0" fontId="4" fillId="8" borderId="0" xfId="0" applyFont="1" applyFill="1" applyAlignment="1">
      <alignment horizontal="left" indent="1"/>
    </xf>
    <xf numFmtId="165" fontId="4" fillId="8" borderId="0" xfId="0" applyNumberFormat="1" applyFont="1" applyFill="1"/>
    <xf numFmtId="0" fontId="4" fillId="8" borderId="0" xfId="0" applyFont="1" applyFill="1"/>
    <xf numFmtId="183" fontId="4" fillId="8" borderId="0" xfId="0" applyNumberFormat="1" applyFont="1" applyFill="1" applyAlignment="1">
      <alignment horizontal="right"/>
    </xf>
    <xf numFmtId="170" fontId="4" fillId="8" borderId="0" xfId="0" applyNumberFormat="1" applyFont="1" applyFill="1" applyAlignment="1">
      <alignment horizontal="right"/>
    </xf>
    <xf numFmtId="176" fontId="4" fillId="8" borderId="0" xfId="0" applyNumberFormat="1" applyFont="1" applyFill="1" applyAlignment="1">
      <alignment horizontal="center"/>
    </xf>
    <xf numFmtId="183" fontId="4" fillId="0" borderId="0" xfId="0" applyNumberFormat="1" applyFont="1" applyAlignment="1">
      <alignment horizontal="right"/>
    </xf>
    <xf numFmtId="170" fontId="4" fillId="0" borderId="0" xfId="0" applyNumberFormat="1" applyFont="1" applyAlignment="1">
      <alignment horizontal="right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vertical="top"/>
    </xf>
    <xf numFmtId="0" fontId="4" fillId="9" borderId="0" xfId="0" applyFont="1" applyFill="1" applyAlignment="1">
      <alignment vertical="top"/>
    </xf>
    <xf numFmtId="183" fontId="4" fillId="9" borderId="0" xfId="0" applyNumberFormat="1" applyFont="1" applyFill="1" applyAlignment="1">
      <alignment vertical="top"/>
    </xf>
    <xf numFmtId="170" fontId="4" fillId="9" borderId="0" xfId="0" applyNumberFormat="1" applyFont="1" applyFill="1" applyAlignment="1">
      <alignment vertical="top"/>
    </xf>
    <xf numFmtId="176" fontId="4" fillId="9" borderId="0" xfId="0" applyNumberFormat="1" applyFont="1" applyFill="1" applyAlignment="1">
      <alignment horizontal="center" vertical="top"/>
    </xf>
    <xf numFmtId="183" fontId="5" fillId="0" borderId="0" xfId="0" applyNumberFormat="1" applyFont="1"/>
    <xf numFmtId="170" fontId="5" fillId="0" borderId="0" xfId="0" applyNumberFormat="1" applyFont="1"/>
    <xf numFmtId="176" fontId="5" fillId="0" borderId="0" xfId="0" applyNumberFormat="1" applyFont="1" applyAlignment="1">
      <alignment horizontal="center"/>
    </xf>
    <xf numFmtId="0" fontId="64" fillId="0" borderId="0" xfId="0" applyFont="1"/>
    <xf numFmtId="170" fontId="4" fillId="9" borderId="0" xfId="0" applyNumberFormat="1" applyFont="1" applyFill="1" applyAlignment="1">
      <alignment horizontal="right" vertical="top"/>
    </xf>
    <xf numFmtId="0" fontId="38" fillId="0" borderId="0" xfId="1" quotePrefix="1" applyFont="1"/>
    <xf numFmtId="169" fontId="39" fillId="0" borderId="0" xfId="1" applyNumberFormat="1" applyFont="1"/>
    <xf numFmtId="172" fontId="40" fillId="0" borderId="0" xfId="1" applyNumberFormat="1" applyFont="1"/>
    <xf numFmtId="172" fontId="40" fillId="0" borderId="0" xfId="1" applyNumberFormat="1" applyFont="1" applyAlignment="1">
      <alignment wrapText="1"/>
    </xf>
    <xf numFmtId="172" fontId="40" fillId="0" borderId="1" xfId="1" applyNumberFormat="1" applyFont="1" applyBorder="1"/>
    <xf numFmtId="172" fontId="50" fillId="0" borderId="1" xfId="1" applyNumberFormat="1" applyFont="1" applyBorder="1"/>
    <xf numFmtId="172" fontId="39" fillId="0" borderId="19" xfId="1" applyNumberFormat="1" applyFont="1" applyBorder="1"/>
    <xf numFmtId="172" fontId="52" fillId="0" borderId="0" xfId="1" applyNumberFormat="1" applyFont="1"/>
    <xf numFmtId="172" fontId="52" fillId="0" borderId="1" xfId="1" applyNumberFormat="1" applyFont="1" applyBorder="1"/>
    <xf numFmtId="172" fontId="39" fillId="0" borderId="1" xfId="1" applyNumberFormat="1" applyFont="1" applyBorder="1"/>
    <xf numFmtId="167" fontId="52" fillId="0" borderId="0" xfId="1" applyNumberFormat="1" applyFont="1"/>
    <xf numFmtId="0" fontId="5" fillId="8" borderId="0" xfId="0" applyFont="1" applyFill="1"/>
    <xf numFmtId="167" fontId="5" fillId="8" borderId="0" xfId="0" applyNumberFormat="1" applyFont="1" applyFill="1"/>
    <xf numFmtId="183" fontId="5" fillId="8" borderId="0" xfId="0" applyNumberFormat="1" applyFont="1" applyFill="1" applyAlignment="1">
      <alignment horizontal="right"/>
    </xf>
    <xf numFmtId="170" fontId="5" fillId="8" borderId="0" xfId="0" applyNumberFormat="1" applyFont="1" applyFill="1" applyAlignment="1">
      <alignment horizontal="right"/>
    </xf>
    <xf numFmtId="170" fontId="5" fillId="8" borderId="0" xfId="0" applyNumberFormat="1" applyFont="1" applyFill="1"/>
    <xf numFmtId="176" fontId="5" fillId="8" borderId="0" xfId="0" applyNumberFormat="1" applyFont="1" applyFill="1" applyAlignment="1">
      <alignment horizontal="center"/>
    </xf>
    <xf numFmtId="9" fontId="65" fillId="0" borderId="0" xfId="0" applyNumberFormat="1" applyFont="1"/>
    <xf numFmtId="0" fontId="65" fillId="0" borderId="0" xfId="0" applyFont="1" applyAlignment="1">
      <alignment horizontal="left" vertical="center" indent="1"/>
    </xf>
    <xf numFmtId="0" fontId="66" fillId="0" borderId="0" xfId="0" applyFont="1"/>
    <xf numFmtId="0" fontId="67" fillId="0" borderId="1" xfId="0" applyFont="1" applyBorder="1"/>
    <xf numFmtId="0" fontId="67" fillId="0" borderId="1" xfId="0" applyFont="1" applyBorder="1" applyAlignment="1">
      <alignment horizontal="right"/>
    </xf>
    <xf numFmtId="0" fontId="68" fillId="2" borderId="0" xfId="0" applyFont="1" applyFill="1" applyAlignment="1">
      <alignment horizontal="left"/>
    </xf>
    <xf numFmtId="0" fontId="68" fillId="2" borderId="0" xfId="0" applyFont="1" applyFill="1"/>
    <xf numFmtId="0" fontId="68" fillId="2" borderId="0" xfId="0" applyFont="1" applyFill="1" applyAlignment="1">
      <alignment horizontal="right"/>
    </xf>
    <xf numFmtId="0" fontId="68" fillId="2" borderId="0" xfId="0" applyFont="1" applyFill="1" applyAlignment="1">
      <alignment horizontal="left" vertical="center"/>
    </xf>
    <xf numFmtId="0" fontId="67" fillId="0" borderId="0" xfId="0" applyFont="1"/>
    <xf numFmtId="0" fontId="69" fillId="0" borderId="0" xfId="0" applyFont="1" applyAlignment="1">
      <alignment horizontal="right"/>
    </xf>
    <xf numFmtId="183" fontId="70" fillId="0" borderId="0" xfId="0" applyNumberFormat="1" applyFont="1" applyAlignment="1">
      <alignment horizontal="right" vertical="center"/>
    </xf>
    <xf numFmtId="0" fontId="67" fillId="13" borderId="0" xfId="0" applyFont="1" applyFill="1"/>
    <xf numFmtId="0" fontId="67" fillId="13" borderId="0" xfId="0" applyFont="1" applyFill="1" applyAlignment="1">
      <alignment horizontal="left" vertical="center"/>
    </xf>
    <xf numFmtId="0" fontId="67" fillId="0" borderId="2" xfId="0" applyFont="1" applyBorder="1"/>
    <xf numFmtId="0" fontId="67" fillId="0" borderId="2" xfId="0" applyFont="1" applyBorder="1" applyAlignment="1">
      <alignment horizontal="right"/>
    </xf>
    <xf numFmtId="0" fontId="67" fillId="0" borderId="0" xfId="0" applyFont="1" applyAlignment="1">
      <alignment horizontal="right"/>
    </xf>
    <xf numFmtId="0" fontId="69" fillId="0" borderId="0" xfId="0" applyFont="1"/>
    <xf numFmtId="0" fontId="71" fillId="0" borderId="0" xfId="4"/>
    <xf numFmtId="16" fontId="67" fillId="0" borderId="0" xfId="0" applyNumberFormat="1" applyFont="1" applyAlignment="1">
      <alignment horizontal="left" vertical="center" wrapText="1" indent="1"/>
    </xf>
    <xf numFmtId="0" fontId="67" fillId="0" borderId="0" xfId="0" applyFont="1" applyAlignment="1">
      <alignment horizontal="left" vertical="center"/>
    </xf>
    <xf numFmtId="190" fontId="67" fillId="0" borderId="0" xfId="0" applyNumberFormat="1" applyFont="1" applyAlignment="1">
      <alignment horizontal="left" vertical="center" wrapText="1" indent="1"/>
    </xf>
    <xf numFmtId="0" fontId="74" fillId="9" borderId="0" xfId="0" applyFont="1" applyFill="1"/>
    <xf numFmtId="183" fontId="74" fillId="9" borderId="0" xfId="0" applyNumberFormat="1" applyFont="1" applyFill="1" applyAlignment="1">
      <alignment horizontal="right" vertical="center"/>
    </xf>
    <xf numFmtId="0" fontId="75" fillId="0" borderId="0" xfId="0" applyFont="1"/>
    <xf numFmtId="0" fontId="74" fillId="0" borderId="0" xfId="0" applyFont="1"/>
    <xf numFmtId="183" fontId="74" fillId="0" borderId="0" xfId="0" applyNumberFormat="1" applyFont="1" applyAlignment="1">
      <alignment horizontal="right" vertical="center"/>
    </xf>
    <xf numFmtId="16" fontId="75" fillId="0" borderId="0" xfId="0" applyNumberFormat="1" applyFont="1" applyAlignment="1">
      <alignment horizontal="left" vertical="center" indent="1"/>
    </xf>
    <xf numFmtId="0" fontId="76" fillId="0" borderId="0" xfId="0" applyFont="1"/>
    <xf numFmtId="0" fontId="70" fillId="0" borderId="0" xfId="0" applyFont="1"/>
    <xf numFmtId="0" fontId="70" fillId="0" borderId="0" xfId="0" applyFont="1" applyAlignment="1">
      <alignment horizontal="left" vertical="center"/>
    </xf>
    <xf numFmtId="0" fontId="62" fillId="0" borderId="0" xfId="0" applyFont="1"/>
    <xf numFmtId="0" fontId="37" fillId="2" borderId="0" xfId="0" applyFont="1" applyFill="1"/>
    <xf numFmtId="0" fontId="37" fillId="2" borderId="3" xfId="0" applyFont="1" applyFill="1" applyBorder="1"/>
    <xf numFmtId="0" fontId="77" fillId="0" borderId="0" xfId="0" applyFont="1" applyAlignment="1">
      <alignment horizontal="centerContinuous"/>
    </xf>
    <xf numFmtId="0" fontId="37" fillId="2" borderId="0" xfId="0" applyFont="1" applyFill="1" applyAlignment="1">
      <alignment horizontal="right"/>
    </xf>
    <xf numFmtId="174" fontId="1" fillId="2" borderId="0" xfId="0" applyNumberFormat="1" applyFont="1" applyFill="1" applyAlignment="1">
      <alignment horizontal="right"/>
    </xf>
    <xf numFmtId="174" fontId="78" fillId="0" borderId="0" xfId="0" applyNumberFormat="1" applyFont="1" applyAlignment="1">
      <alignment horizontal="right"/>
    </xf>
    <xf numFmtId="0" fontId="78" fillId="0" borderId="0" xfId="0" applyFont="1"/>
    <xf numFmtId="37" fontId="18" fillId="0" borderId="0" xfId="0" applyNumberFormat="1" applyFont="1"/>
    <xf numFmtId="167" fontId="2" fillId="0" borderId="0" xfId="0" applyNumberFormat="1" applyFont="1" applyAlignment="1">
      <alignment horizontal="right"/>
    </xf>
    <xf numFmtId="0" fontId="0" fillId="0" borderId="30" xfId="0" applyBorder="1" applyAlignment="1">
      <alignment horizontal="left" indent="1"/>
    </xf>
    <xf numFmtId="168" fontId="18" fillId="0" borderId="30" xfId="0" applyNumberFormat="1" applyFont="1" applyBorder="1"/>
    <xf numFmtId="0" fontId="2" fillId="0" borderId="0" xfId="0" applyFont="1" applyAlignment="1">
      <alignment horizontal="left" indent="1"/>
    </xf>
    <xf numFmtId="37" fontId="2" fillId="0" borderId="0" xfId="0" applyNumberFormat="1" applyFont="1"/>
    <xf numFmtId="168" fontId="30" fillId="0" borderId="30" xfId="0" applyNumberFormat="1" applyFont="1" applyBorder="1"/>
    <xf numFmtId="37" fontId="30" fillId="0" borderId="0" xfId="0" applyNumberFormat="1" applyFont="1"/>
    <xf numFmtId="168" fontId="18" fillId="0" borderId="0" xfId="0" applyNumberFormat="1" applyFont="1"/>
    <xf numFmtId="0" fontId="78" fillId="0" borderId="1" xfId="0" applyFont="1" applyBorder="1"/>
    <xf numFmtId="169" fontId="2" fillId="0" borderId="1" xfId="0" applyNumberFormat="1" applyFont="1" applyBorder="1"/>
    <xf numFmtId="0" fontId="30" fillId="0" borderId="0" xfId="0" applyFont="1"/>
    <xf numFmtId="0" fontId="17" fillId="0" borderId="0" xfId="0" applyFont="1"/>
    <xf numFmtId="170" fontId="79" fillId="7" borderId="0" xfId="0" applyNumberFormat="1" applyFont="1" applyFill="1"/>
    <xf numFmtId="165" fontId="0" fillId="0" borderId="0" xfId="0" applyNumberFormat="1"/>
    <xf numFmtId="169" fontId="0" fillId="7" borderId="0" xfId="0" applyNumberFormat="1" applyFill="1"/>
    <xf numFmtId="169" fontId="0" fillId="0" borderId="1" xfId="0" applyNumberFormat="1" applyBorder="1"/>
    <xf numFmtId="4" fontId="0" fillId="0" borderId="1" xfId="0" applyNumberFormat="1" applyBorder="1"/>
    <xf numFmtId="0" fontId="0" fillId="10" borderId="0" xfId="0" applyFill="1"/>
    <xf numFmtId="4" fontId="0" fillId="10" borderId="0" xfId="0" applyNumberFormat="1" applyFill="1"/>
    <xf numFmtId="191" fontId="80" fillId="7" borderId="11" xfId="0" applyNumberFormat="1" applyFont="1" applyFill="1" applyBorder="1"/>
    <xf numFmtId="167" fontId="18" fillId="0" borderId="0" xfId="0" applyNumberFormat="1" applyFont="1"/>
    <xf numFmtId="183" fontId="0" fillId="0" borderId="23" xfId="0" applyNumberFormat="1" applyBorder="1"/>
    <xf numFmtId="183" fontId="80" fillId="0" borderId="23" xfId="0" applyNumberFormat="1" applyFont="1" applyBorder="1"/>
    <xf numFmtId="165" fontId="2" fillId="0" borderId="0" xfId="0" applyNumberFormat="1" applyFont="1"/>
    <xf numFmtId="170" fontId="0" fillId="0" borderId="29" xfId="0" applyNumberFormat="1" applyBorder="1"/>
    <xf numFmtId="170" fontId="81" fillId="0" borderId="11" xfId="0" applyNumberFormat="1" applyFont="1" applyBorder="1"/>
    <xf numFmtId="0" fontId="0" fillId="0" borderId="30" xfId="0" applyBorder="1"/>
    <xf numFmtId="4" fontId="82" fillId="0" borderId="30" xfId="0" applyNumberFormat="1" applyFont="1" applyBorder="1"/>
    <xf numFmtId="170" fontId="80" fillId="0" borderId="29" xfId="0" applyNumberFormat="1" applyFont="1" applyBorder="1"/>
    <xf numFmtId="169" fontId="18" fillId="0" borderId="30" xfId="0" applyNumberFormat="1" applyFont="1" applyBorder="1"/>
    <xf numFmtId="170" fontId="0" fillId="0" borderId="31" xfId="0" applyNumberFormat="1" applyBorder="1"/>
    <xf numFmtId="0" fontId="0" fillId="0" borderId="3" xfId="0" applyBorder="1"/>
    <xf numFmtId="170" fontId="0" fillId="0" borderId="3" xfId="0" applyNumberFormat="1" applyBorder="1"/>
    <xf numFmtId="169" fontId="83" fillId="0" borderId="0" xfId="0" applyNumberFormat="1" applyFont="1"/>
    <xf numFmtId="169" fontId="83" fillId="0" borderId="1" xfId="0" applyNumberFormat="1" applyFont="1" applyBorder="1"/>
    <xf numFmtId="166" fontId="2" fillId="0" borderId="0" xfId="0" applyNumberFormat="1" applyFont="1"/>
    <xf numFmtId="165" fontId="2" fillId="0" borderId="30" xfId="0" applyNumberFormat="1" applyFont="1" applyBorder="1"/>
    <xf numFmtId="4" fontId="83" fillId="0" borderId="0" xfId="0" applyNumberFormat="1" applyFont="1"/>
    <xf numFmtId="192" fontId="78" fillId="0" borderId="0" xfId="0" applyNumberFormat="1" applyFont="1"/>
    <xf numFmtId="170" fontId="80" fillId="7" borderId="11" xfId="0" applyNumberFormat="1" applyFont="1" applyFill="1" applyBorder="1"/>
    <xf numFmtId="170" fontId="0" fillId="0" borderId="23" xfId="0" applyNumberFormat="1" applyBorder="1"/>
    <xf numFmtId="170" fontId="80" fillId="0" borderId="23" xfId="0" applyNumberFormat="1" applyFont="1" applyBorder="1"/>
    <xf numFmtId="170" fontId="80" fillId="0" borderId="11" xfId="0" applyNumberFormat="1" applyFont="1" applyBorder="1"/>
    <xf numFmtId="0" fontId="2" fillId="0" borderId="30" xfId="0" applyFont="1" applyBorder="1"/>
    <xf numFmtId="167" fontId="18" fillId="0" borderId="0" xfId="2" applyNumberFormat="1" applyFont="1"/>
    <xf numFmtId="165" fontId="78" fillId="0" borderId="0" xfId="2" applyNumberFormat="1" applyFont="1"/>
    <xf numFmtId="176" fontId="18" fillId="0" borderId="0" xfId="2" applyNumberFormat="1" applyFont="1"/>
    <xf numFmtId="168" fontId="18" fillId="0" borderId="0" xfId="2" applyNumberFormat="1" applyFont="1"/>
    <xf numFmtId="4" fontId="18" fillId="0" borderId="30" xfId="2" applyNumberFormat="1" applyFont="1" applyBorder="1"/>
    <xf numFmtId="0" fontId="30" fillId="0" borderId="0" xfId="2" applyFont="1"/>
    <xf numFmtId="0" fontId="78" fillId="7" borderId="1" xfId="2" applyFont="1" applyFill="1" applyBorder="1" applyAlignment="1">
      <alignment horizontal="center"/>
    </xf>
    <xf numFmtId="176" fontId="30" fillId="0" borderId="0" xfId="2" applyNumberFormat="1" applyFont="1"/>
    <xf numFmtId="9" fontId="30" fillId="7" borderId="0" xfId="2" applyNumberFormat="1" applyFont="1" applyFill="1" applyAlignment="1">
      <alignment horizontal="center"/>
    </xf>
    <xf numFmtId="176" fontId="30" fillId="0" borderId="30" xfId="2" applyNumberFormat="1" applyFont="1" applyBorder="1"/>
    <xf numFmtId="9" fontId="30" fillId="7" borderId="1" xfId="2" applyNumberFormat="1" applyFont="1" applyFill="1" applyBorder="1" applyAlignment="1">
      <alignment horizontal="center"/>
    </xf>
    <xf numFmtId="0" fontId="2" fillId="0" borderId="33" xfId="0" applyFont="1" applyBorder="1"/>
    <xf numFmtId="169" fontId="78" fillId="0" borderId="33" xfId="2" applyNumberFormat="1" applyFont="1" applyBorder="1"/>
    <xf numFmtId="170" fontId="78" fillId="7" borderId="0" xfId="2" applyNumberFormat="1" applyFont="1" applyFill="1" applyAlignment="1">
      <alignment horizontal="center"/>
    </xf>
    <xf numFmtId="0" fontId="0" fillId="0" borderId="0" xfId="3" applyFont="1"/>
    <xf numFmtId="0" fontId="37" fillId="2" borderId="0" xfId="2" applyFont="1" applyFill="1"/>
    <xf numFmtId="10" fontId="84" fillId="0" borderId="0" xfId="2" applyNumberFormat="1" applyFont="1"/>
    <xf numFmtId="10" fontId="30" fillId="0" borderId="0" xfId="2" applyNumberFormat="1" applyFont="1"/>
    <xf numFmtId="193" fontId="18" fillId="7" borderId="30" xfId="2" applyNumberFormat="1" applyFont="1" applyFill="1" applyBorder="1"/>
    <xf numFmtId="170" fontId="78" fillId="0" borderId="0" xfId="2" applyNumberFormat="1" applyFont="1"/>
    <xf numFmtId="194" fontId="78" fillId="0" borderId="0" xfId="2" applyNumberFormat="1" applyFont="1"/>
    <xf numFmtId="170" fontId="81" fillId="0" borderId="0" xfId="2" applyNumberFormat="1" applyFont="1"/>
    <xf numFmtId="10" fontId="79" fillId="7" borderId="0" xfId="0" applyNumberFormat="1" applyFont="1" applyFill="1"/>
    <xf numFmtId="0" fontId="0" fillId="0" borderId="34" xfId="0" applyBorder="1"/>
    <xf numFmtId="170" fontId="18" fillId="0" borderId="0" xfId="2" applyNumberFormat="1" applyFont="1"/>
    <xf numFmtId="170" fontId="86" fillId="0" borderId="30" xfId="2" applyNumberFormat="1" applyFont="1" applyBorder="1"/>
    <xf numFmtId="0" fontId="87" fillId="0" borderId="0" xfId="0" applyFont="1" applyAlignment="1">
      <alignment horizontal="center"/>
    </xf>
    <xf numFmtId="0" fontId="88" fillId="0" borderId="0" xfId="0" applyFont="1" applyAlignment="1">
      <alignment horizontal="center"/>
    </xf>
    <xf numFmtId="0" fontId="3" fillId="0" borderId="1" xfId="0" applyFont="1" applyBorder="1"/>
    <xf numFmtId="0" fontId="0" fillId="0" borderId="1" xfId="0" applyBorder="1" applyAlignment="1">
      <alignment horizontal="center"/>
    </xf>
    <xf numFmtId="0" fontId="26" fillId="0" borderId="0" xfId="0" applyFont="1" applyAlignment="1">
      <alignment wrapText="1"/>
    </xf>
    <xf numFmtId="0" fontId="26" fillId="0" borderId="0" xfId="0" applyFont="1" applyAlignment="1">
      <alignment horizontal="center"/>
    </xf>
    <xf numFmtId="0" fontId="89" fillId="0" borderId="0" xfId="0" applyFont="1" applyAlignment="1">
      <alignment wrapText="1"/>
    </xf>
    <xf numFmtId="167" fontId="90" fillId="0" borderId="0" xfId="0" applyNumberFormat="1" applyFont="1" applyAlignment="1">
      <alignment horizontal="center"/>
    </xf>
    <xf numFmtId="167" fontId="89" fillId="0" borderId="0" xfId="0" applyNumberFormat="1" applyFont="1" applyAlignment="1">
      <alignment horizontal="center"/>
    </xf>
    <xf numFmtId="0" fontId="1" fillId="15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wrapText="1"/>
    </xf>
    <xf numFmtId="167" fontId="18" fillId="0" borderId="0" xfId="0" applyNumberFormat="1" applyFont="1" applyAlignment="1">
      <alignment horizontal="center"/>
    </xf>
    <xf numFmtId="0" fontId="1" fillId="15" borderId="0" xfId="0" applyFont="1" applyFill="1" applyAlignment="1">
      <alignment horizontal="left" vertical="center" wrapText="1"/>
    </xf>
    <xf numFmtId="16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91" fillId="10" borderId="0" xfId="0" applyFont="1" applyFill="1"/>
    <xf numFmtId="9" fontId="92" fillId="10" borderId="0" xfId="0" applyNumberFormat="1" applyFont="1" applyFill="1" applyAlignment="1">
      <alignment horizontal="center"/>
    </xf>
    <xf numFmtId="170" fontId="91" fillId="10" borderId="0" xfId="0" applyNumberFormat="1" applyFont="1" applyFill="1" applyAlignment="1">
      <alignment horizontal="center"/>
    </xf>
    <xf numFmtId="9" fontId="93" fillId="10" borderId="0" xfId="0" applyNumberFormat="1" applyFont="1" applyFill="1" applyAlignment="1">
      <alignment horizontal="center"/>
    </xf>
    <xf numFmtId="167" fontId="79" fillId="0" borderId="0" xfId="0" applyNumberFormat="1" applyFont="1" applyAlignment="1">
      <alignment horizontal="right"/>
    </xf>
    <xf numFmtId="0" fontId="1" fillId="2" borderId="1" xfId="0" applyFont="1" applyFill="1" applyBorder="1"/>
    <xf numFmtId="4" fontId="0" fillId="0" borderId="1" xfId="0" applyNumberFormat="1" applyBorder="1" applyAlignment="1">
      <alignment horizontal="right"/>
    </xf>
    <xf numFmtId="169" fontId="32" fillId="10" borderId="0" xfId="0" applyNumberFormat="1" applyFont="1" applyFill="1"/>
    <xf numFmtId="9" fontId="19" fillId="0" borderId="0" xfId="0" applyNumberFormat="1" applyFont="1"/>
    <xf numFmtId="165" fontId="2" fillId="0" borderId="0" xfId="0" applyNumberFormat="1" applyFont="1" applyAlignment="1">
      <alignment horizontal="right"/>
    </xf>
    <xf numFmtId="0" fontId="0" fillId="16" borderId="0" xfId="0" applyFill="1"/>
    <xf numFmtId="169" fontId="32" fillId="16" borderId="0" xfId="0" applyNumberFormat="1" applyFont="1" applyFill="1"/>
    <xf numFmtId="37" fontId="0" fillId="0" borderId="1" xfId="0" applyNumberFormat="1" applyBorder="1" applyAlignment="1">
      <alignment horizontal="right"/>
    </xf>
    <xf numFmtId="0" fontId="0" fillId="17" borderId="1" xfId="0" applyFill="1" applyBorder="1"/>
    <xf numFmtId="169" fontId="32" fillId="17" borderId="1" xfId="0" applyNumberFormat="1" applyFont="1" applyFill="1" applyBorder="1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7" fontId="0" fillId="0" borderId="0" xfId="0" applyNumberFormat="1" applyAlignment="1">
      <alignment horizontal="right"/>
    </xf>
    <xf numFmtId="191" fontId="30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167" fontId="30" fillId="0" borderId="0" xfId="0" applyNumberFormat="1" applyFont="1" applyAlignment="1">
      <alignment horizontal="center"/>
    </xf>
    <xf numFmtId="191" fontId="0" fillId="0" borderId="0" xfId="0" applyNumberFormat="1" applyAlignment="1">
      <alignment horizontal="right"/>
    </xf>
    <xf numFmtId="183" fontId="47" fillId="7" borderId="0" xfId="0" applyNumberFormat="1" applyFont="1" applyFill="1" applyAlignment="1">
      <alignment horizontal="center" vertical="center"/>
    </xf>
    <xf numFmtId="0" fontId="91" fillId="0" borderId="11" xfId="0" applyFont="1" applyBorder="1" applyAlignment="1">
      <alignment horizontal="center"/>
    </xf>
    <xf numFmtId="9" fontId="17" fillId="0" borderId="0" xfId="0" applyNumberFormat="1" applyFont="1" applyAlignment="1">
      <alignment horizontal="center"/>
    </xf>
    <xf numFmtId="183" fontId="47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left" indent="1"/>
    </xf>
    <xf numFmtId="183" fontId="47" fillId="0" borderId="1" xfId="0" applyNumberFormat="1" applyFont="1" applyBorder="1" applyAlignment="1">
      <alignment horizontal="center" vertical="center"/>
    </xf>
    <xf numFmtId="183" fontId="61" fillId="0" borderId="0" xfId="0" applyNumberFormat="1" applyFont="1" applyAlignment="1">
      <alignment horizontal="center" vertical="center"/>
    </xf>
    <xf numFmtId="183" fontId="61" fillId="7" borderId="0" xfId="0" applyNumberFormat="1" applyFont="1" applyFill="1" applyAlignment="1">
      <alignment horizontal="center" vertical="center"/>
    </xf>
    <xf numFmtId="169" fontId="14" fillId="7" borderId="4" xfId="0" applyNumberFormat="1" applyFont="1" applyFill="1" applyBorder="1"/>
    <xf numFmtId="169" fontId="14" fillId="7" borderId="5" xfId="0" applyNumberFormat="1" applyFont="1" applyFill="1" applyBorder="1"/>
    <xf numFmtId="176" fontId="5" fillId="0" borderId="0" xfId="0" applyNumberFormat="1" applyFont="1"/>
    <xf numFmtId="176" fontId="13" fillId="0" borderId="0" xfId="0" applyNumberFormat="1" applyFont="1"/>
    <xf numFmtId="4" fontId="13" fillId="0" borderId="0" xfId="0" applyNumberFormat="1" applyFont="1"/>
    <xf numFmtId="4" fontId="13" fillId="0" borderId="6" xfId="0" applyNumberFormat="1" applyFont="1" applyBorder="1"/>
    <xf numFmtId="0" fontId="13" fillId="0" borderId="0" xfId="0" applyFont="1" applyAlignment="1">
      <alignment horizontal="right"/>
    </xf>
    <xf numFmtId="0" fontId="13" fillId="0" borderId="6" xfId="0" applyFont="1" applyBorder="1" applyAlignment="1">
      <alignment horizontal="right"/>
    </xf>
    <xf numFmtId="0" fontId="96" fillId="0" borderId="0" xfId="0" applyFont="1"/>
    <xf numFmtId="0" fontId="87" fillId="0" borderId="0" xfId="0" applyFont="1" applyAlignment="1">
      <alignment horizontal="left" indent="1"/>
    </xf>
    <xf numFmtId="167" fontId="9" fillId="7" borderId="0" xfId="0" applyNumberFormat="1" applyFont="1" applyFill="1"/>
    <xf numFmtId="0" fontId="5" fillId="0" borderId="19" xfId="0" applyFont="1" applyBorder="1"/>
    <xf numFmtId="0" fontId="4" fillId="0" borderId="19" xfId="0" applyFont="1" applyBorder="1"/>
    <xf numFmtId="169" fontId="4" fillId="0" borderId="9" xfId="0" applyNumberFormat="1" applyFont="1" applyBorder="1"/>
    <xf numFmtId="169" fontId="4" fillId="0" borderId="19" xfId="0" applyNumberFormat="1" applyFont="1" applyBorder="1"/>
    <xf numFmtId="0" fontId="5" fillId="0" borderId="17" xfId="0" applyFont="1" applyBorder="1"/>
    <xf numFmtId="169" fontId="5" fillId="0" borderId="35" xfId="0" applyNumberFormat="1" applyFont="1" applyBorder="1"/>
    <xf numFmtId="169" fontId="5" fillId="0" borderId="17" xfId="0" applyNumberFormat="1" applyFont="1" applyBorder="1"/>
    <xf numFmtId="170" fontId="4" fillId="8" borderId="0" xfId="0" applyNumberFormat="1" applyFont="1" applyFill="1" applyAlignment="1">
      <alignment horizontal="center"/>
    </xf>
    <xf numFmtId="170" fontId="4" fillId="0" borderId="6" xfId="0" applyNumberFormat="1" applyFont="1" applyBorder="1" applyAlignment="1">
      <alignment horizontal="center"/>
    </xf>
    <xf numFmtId="168" fontId="10" fillId="0" borderId="4" xfId="0" applyNumberFormat="1" applyFont="1" applyBorder="1"/>
    <xf numFmtId="195" fontId="14" fillId="0" borderId="0" xfId="0" applyNumberFormat="1" applyFont="1"/>
    <xf numFmtId="195" fontId="14" fillId="0" borderId="36" xfId="0" applyNumberFormat="1" applyFont="1" applyBorder="1"/>
    <xf numFmtId="0" fontId="8" fillId="0" borderId="17" xfId="0" applyFont="1" applyBorder="1" applyAlignment="1">
      <alignment horizontal="left" vertical="center"/>
    </xf>
    <xf numFmtId="10" fontId="8" fillId="0" borderId="17" xfId="0" applyNumberFormat="1" applyFont="1" applyBorder="1" applyAlignment="1">
      <alignment horizontal="right" vertical="center"/>
    </xf>
    <xf numFmtId="3" fontId="31" fillId="0" borderId="17" xfId="0" applyNumberFormat="1" applyFont="1" applyBorder="1" applyAlignment="1">
      <alignment horizontal="right" vertical="center"/>
    </xf>
    <xf numFmtId="167" fontId="31" fillId="0" borderId="17" xfId="0" applyNumberFormat="1" applyFont="1" applyBorder="1" applyAlignment="1">
      <alignment horizontal="right" vertical="center"/>
    </xf>
    <xf numFmtId="169" fontId="17" fillId="0" borderId="36" xfId="0" applyNumberFormat="1" applyFont="1" applyBorder="1"/>
    <xf numFmtId="171" fontId="17" fillId="0" borderId="0" xfId="0" applyNumberFormat="1" applyFont="1"/>
    <xf numFmtId="171" fontId="17" fillId="0" borderId="36" xfId="0" applyNumberFormat="1" applyFont="1" applyBorder="1"/>
    <xf numFmtId="0" fontId="2" fillId="0" borderId="17" xfId="0" applyFont="1" applyBorder="1"/>
    <xf numFmtId="169" fontId="2" fillId="0" borderId="17" xfId="0" applyNumberFormat="1" applyFont="1" applyBorder="1"/>
    <xf numFmtId="169" fontId="2" fillId="0" borderId="7" xfId="0" applyNumberFormat="1" applyFont="1" applyBorder="1"/>
    <xf numFmtId="168" fontId="17" fillId="0" borderId="36" xfId="0" applyNumberFormat="1" applyFont="1" applyBorder="1"/>
    <xf numFmtId="168" fontId="17" fillId="0" borderId="37" xfId="0" applyNumberFormat="1" applyFont="1" applyBorder="1"/>
    <xf numFmtId="170" fontId="32" fillId="0" borderId="0" xfId="0" applyNumberFormat="1" applyFont="1"/>
    <xf numFmtId="170" fontId="32" fillId="8" borderId="0" xfId="0" applyNumberFormat="1" applyFont="1" applyFill="1"/>
    <xf numFmtId="170" fontId="20" fillId="18" borderId="39" xfId="0" applyNumberFormat="1" applyFont="1" applyFill="1" applyBorder="1"/>
    <xf numFmtId="170" fontId="20" fillId="18" borderId="40" xfId="0" applyNumberFormat="1" applyFont="1" applyFill="1" applyBorder="1"/>
    <xf numFmtId="170" fontId="20" fillId="18" borderId="41" xfId="0" applyNumberFormat="1" applyFont="1" applyFill="1" applyBorder="1"/>
    <xf numFmtId="170" fontId="20" fillId="18" borderId="42" xfId="0" applyNumberFormat="1" applyFont="1" applyFill="1" applyBorder="1"/>
    <xf numFmtId="170" fontId="20" fillId="18" borderId="0" xfId="0" applyNumberFormat="1" applyFont="1" applyFill="1"/>
    <xf numFmtId="170" fontId="20" fillId="18" borderId="43" xfId="0" applyNumberFormat="1" applyFont="1" applyFill="1" applyBorder="1"/>
    <xf numFmtId="170" fontId="20" fillId="18" borderId="44" xfId="0" applyNumberFormat="1" applyFont="1" applyFill="1" applyBorder="1"/>
    <xf numFmtId="170" fontId="20" fillId="18" borderId="45" xfId="0" applyNumberFormat="1" applyFont="1" applyFill="1" applyBorder="1"/>
    <xf numFmtId="170" fontId="20" fillId="18" borderId="46" xfId="0" applyNumberFormat="1" applyFont="1" applyFill="1" applyBorder="1"/>
    <xf numFmtId="174" fontId="97" fillId="2" borderId="0" xfId="0" applyNumberFormat="1" applyFont="1" applyFill="1" applyAlignment="1">
      <alignment horizontal="center" vertical="center"/>
    </xf>
    <xf numFmtId="165" fontId="30" fillId="0" borderId="0" xfId="0" applyNumberFormat="1" applyFont="1"/>
    <xf numFmtId="0" fontId="0" fillId="0" borderId="17" xfId="0" applyBorder="1" applyAlignment="1">
      <alignment horizontal="left" indent="1"/>
    </xf>
    <xf numFmtId="165" fontId="30" fillId="0" borderId="17" xfId="0" applyNumberFormat="1" applyFont="1" applyBorder="1"/>
    <xf numFmtId="167" fontId="30" fillId="0" borderId="17" xfId="0" applyNumberFormat="1" applyFont="1" applyBorder="1"/>
    <xf numFmtId="165" fontId="18" fillId="0" borderId="0" xfId="0" applyNumberFormat="1" applyFont="1"/>
    <xf numFmtId="170" fontId="30" fillId="0" borderId="0" xfId="0" applyNumberFormat="1" applyFont="1"/>
    <xf numFmtId="167" fontId="30" fillId="0" borderId="0" xfId="0" applyNumberFormat="1" applyFont="1"/>
    <xf numFmtId="167" fontId="17" fillId="0" borderId="0" xfId="0" applyNumberFormat="1" applyFont="1" applyAlignment="1">
      <alignment horizontal="center"/>
    </xf>
    <xf numFmtId="195" fontId="9" fillId="0" borderId="0" xfId="0" applyNumberFormat="1" applyFont="1"/>
    <xf numFmtId="195" fontId="4" fillId="0" borderId="0" xfId="0" applyNumberFormat="1" applyFont="1"/>
    <xf numFmtId="183" fontId="4" fillId="0" borderId="0" xfId="0" quotePrefix="1" applyNumberFormat="1" applyFont="1" applyAlignment="1">
      <alignment horizontal="right"/>
    </xf>
    <xf numFmtId="170" fontId="4" fillId="0" borderId="0" xfId="0" applyNumberFormat="1" applyFont="1" applyAlignment="1">
      <alignment horizontal="center"/>
    </xf>
    <xf numFmtId="4" fontId="40" fillId="7" borderId="0" xfId="1" applyNumberFormat="1" applyFont="1" applyFill="1"/>
    <xf numFmtId="4" fontId="40" fillId="7" borderId="0" xfId="1" applyNumberFormat="1" applyFont="1" applyFill="1" applyAlignment="1">
      <alignment wrapText="1"/>
    </xf>
    <xf numFmtId="0" fontId="4" fillId="0" borderId="17" xfId="0" applyFont="1" applyBorder="1"/>
    <xf numFmtId="0" fontId="4" fillId="0" borderId="17" xfId="0" applyFont="1" applyBorder="1" applyAlignment="1">
      <alignment horizontal="right"/>
    </xf>
    <xf numFmtId="0" fontId="4" fillId="0" borderId="17" xfId="0" applyFont="1" applyBorder="1" applyAlignment="1">
      <alignment horizontal="center"/>
    </xf>
    <xf numFmtId="183" fontId="5" fillId="11" borderId="0" xfId="0" applyNumberFormat="1" applyFont="1" applyFill="1" applyAlignment="1">
      <alignment horizontal="right"/>
    </xf>
    <xf numFmtId="0" fontId="5" fillId="11" borderId="0" xfId="0" applyFont="1" applyFill="1"/>
    <xf numFmtId="170" fontId="5" fillId="11" borderId="0" xfId="0" applyNumberFormat="1" applyFont="1" applyFill="1"/>
    <xf numFmtId="176" fontId="5" fillId="11" borderId="0" xfId="0" applyNumberFormat="1" applyFont="1" applyFill="1" applyAlignment="1">
      <alignment horizontal="center"/>
    </xf>
    <xf numFmtId="170" fontId="5" fillId="7" borderId="0" xfId="0" applyNumberFormat="1" applyFont="1" applyFill="1" applyAlignment="1">
      <alignment horizontal="right"/>
    </xf>
    <xf numFmtId="0" fontId="4" fillId="0" borderId="39" xfId="0" applyFont="1" applyBorder="1" applyAlignment="1">
      <alignment horizontal="centerContinuous"/>
    </xf>
    <xf numFmtId="0" fontId="4" fillId="0" borderId="40" xfId="0" applyFont="1" applyBorder="1" applyAlignment="1">
      <alignment horizontal="centerContinuous"/>
    </xf>
    <xf numFmtId="0" fontId="4" fillId="0" borderId="41" xfId="0" applyFont="1" applyBorder="1" applyAlignment="1">
      <alignment horizontal="centerContinuous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4" xfId="0" applyFont="1" applyBorder="1"/>
    <xf numFmtId="0" fontId="4" fillId="0" borderId="45" xfId="0" applyFont="1" applyBorder="1"/>
    <xf numFmtId="0" fontId="4" fillId="0" borderId="46" xfId="0" applyFont="1" applyBorder="1"/>
    <xf numFmtId="4" fontId="60" fillId="7" borderId="0" xfId="0" applyNumberFormat="1" applyFont="1" applyFill="1" applyAlignment="1">
      <alignment horizontal="right"/>
    </xf>
    <xf numFmtId="167" fontId="58" fillId="7" borderId="0" xfId="0" applyNumberFormat="1" applyFont="1" applyFill="1" applyAlignment="1">
      <alignment horizontal="center" vertical="center"/>
    </xf>
    <xf numFmtId="188" fontId="19" fillId="0" borderId="28" xfId="0" applyNumberFormat="1" applyFont="1" applyBorder="1"/>
    <xf numFmtId="0" fontId="19" fillId="0" borderId="28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70" fontId="18" fillId="0" borderId="12" xfId="0" applyNumberFormat="1" applyFont="1" applyBorder="1" applyAlignment="1">
      <alignment horizontal="center"/>
    </xf>
    <xf numFmtId="174" fontId="98" fillId="2" borderId="0" xfId="0" applyNumberFormat="1" applyFont="1" applyFill="1" applyAlignment="1">
      <alignment horizontal="right"/>
    </xf>
    <xf numFmtId="0" fontId="2" fillId="0" borderId="17" xfId="0" applyFont="1" applyBorder="1" applyAlignment="1">
      <alignment horizontal="left" indent="1"/>
    </xf>
    <xf numFmtId="0" fontId="78" fillId="0" borderId="6" xfId="0" applyFont="1" applyBorder="1"/>
    <xf numFmtId="37" fontId="18" fillId="0" borderId="6" xfId="0" applyNumberFormat="1" applyFont="1" applyBorder="1"/>
    <xf numFmtId="37" fontId="2" fillId="0" borderId="7" xfId="0" applyNumberFormat="1" applyFont="1" applyBorder="1"/>
    <xf numFmtId="37" fontId="30" fillId="0" borderId="47" xfId="0" applyNumberFormat="1" applyFont="1" applyBorder="1"/>
    <xf numFmtId="37" fontId="2" fillId="0" borderId="6" xfId="0" applyNumberFormat="1" applyFont="1" applyBorder="1"/>
    <xf numFmtId="0" fontId="0" fillId="0" borderId="47" xfId="0" applyBorder="1"/>
    <xf numFmtId="0" fontId="0" fillId="0" borderId="16" xfId="0" applyBorder="1"/>
    <xf numFmtId="4" fontId="18" fillId="7" borderId="30" xfId="3" applyNumberFormat="1" applyFont="1" applyFill="1" applyBorder="1"/>
    <xf numFmtId="0" fontId="0" fillId="0" borderId="48" xfId="3" applyFont="1" applyBorder="1" applyAlignment="1">
      <alignment horizontal="center"/>
    </xf>
    <xf numFmtId="0" fontId="0" fillId="0" borderId="49" xfId="3" applyFont="1" applyBorder="1" applyAlignment="1">
      <alignment horizontal="center"/>
    </xf>
    <xf numFmtId="10" fontId="85" fillId="0" borderId="38" xfId="2" applyNumberFormat="1" applyFont="1" applyBorder="1" applyAlignment="1">
      <alignment horizontal="center"/>
    </xf>
    <xf numFmtId="196" fontId="78" fillId="0" borderId="33" xfId="2" applyNumberFormat="1" applyFont="1" applyBorder="1"/>
    <xf numFmtId="0" fontId="2" fillId="0" borderId="0" xfId="0" applyFont="1" applyAlignment="1">
      <alignment horizontal="center"/>
    </xf>
    <xf numFmtId="0" fontId="2" fillId="10" borderId="0" xfId="0" applyFont="1" applyFill="1" applyAlignment="1">
      <alignment horizontal="center"/>
    </xf>
    <xf numFmtId="0" fontId="58" fillId="0" borderId="0" xfId="0" applyFont="1" applyAlignment="1">
      <alignment horizontal="center"/>
    </xf>
    <xf numFmtId="0" fontId="62" fillId="10" borderId="11" xfId="0" applyFont="1" applyFill="1" applyBorder="1" applyAlignment="1">
      <alignment horizontal="center"/>
    </xf>
    <xf numFmtId="186" fontId="39" fillId="0" borderId="0" xfId="1" applyNumberFormat="1" applyFont="1"/>
    <xf numFmtId="165" fontId="99" fillId="3" borderId="0" xfId="0" applyNumberFormat="1" applyFont="1" applyFill="1"/>
    <xf numFmtId="165" fontId="0" fillId="0" borderId="32" xfId="0" applyNumberFormat="1" applyBorder="1"/>
    <xf numFmtId="165" fontId="0" fillId="0" borderId="30" xfId="0" applyNumberFormat="1" applyBorder="1"/>
    <xf numFmtId="165" fontId="18" fillId="0" borderId="0" xfId="0" applyNumberFormat="1" applyFont="1" applyAlignment="1">
      <alignment horizontal="right"/>
    </xf>
    <xf numFmtId="165" fontId="18" fillId="0" borderId="1" xfId="0" applyNumberFormat="1" applyFont="1" applyBorder="1" applyAlignment="1">
      <alignment horizontal="right"/>
    </xf>
    <xf numFmtId="165" fontId="1" fillId="19" borderId="0" xfId="0" applyNumberFormat="1" applyFont="1" applyFill="1"/>
    <xf numFmtId="165" fontId="1" fillId="14" borderId="0" xfId="0" applyNumberFormat="1" applyFont="1" applyFill="1"/>
    <xf numFmtId="165" fontId="46" fillId="0" borderId="19" xfId="1" applyNumberFormat="1" applyFont="1" applyBorder="1" applyAlignment="1">
      <alignment horizontal="right"/>
    </xf>
    <xf numFmtId="165" fontId="47" fillId="0" borderId="19" xfId="1" applyNumberFormat="1" applyFont="1" applyBorder="1" applyAlignment="1">
      <alignment horizontal="center" vertical="center"/>
    </xf>
    <xf numFmtId="165" fontId="46" fillId="0" borderId="19" xfId="1" applyNumberFormat="1" applyFont="1" applyBorder="1"/>
    <xf numFmtId="165" fontId="46" fillId="0" borderId="19" xfId="1" applyNumberFormat="1" applyFont="1" applyBorder="1" applyAlignment="1">
      <alignment horizontal="center" vertical="center"/>
    </xf>
    <xf numFmtId="165" fontId="18" fillId="0" borderId="0" xfId="0" applyNumberFormat="1" applyFont="1" applyAlignment="1">
      <alignment horizontal="center"/>
    </xf>
    <xf numFmtId="165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165" fontId="0" fillId="10" borderId="0" xfId="0" applyNumberFormat="1" applyFill="1" applyAlignment="1">
      <alignment horizontal="center"/>
    </xf>
    <xf numFmtId="170" fontId="100" fillId="0" borderId="0" xfId="0" applyNumberFormat="1" applyFont="1"/>
    <xf numFmtId="10" fontId="33" fillId="0" borderId="0" xfId="0" applyNumberFormat="1" applyFont="1"/>
    <xf numFmtId="197" fontId="33" fillId="0" borderId="0" xfId="0" applyNumberFormat="1" applyFont="1"/>
    <xf numFmtId="196" fontId="35" fillId="0" borderId="11" xfId="0" applyNumberFormat="1" applyFont="1" applyBorder="1"/>
    <xf numFmtId="0" fontId="38" fillId="0" borderId="11" xfId="0" applyFont="1" applyBorder="1" applyAlignment="1">
      <alignment horizontal="center"/>
    </xf>
    <xf numFmtId="0" fontId="39" fillId="0" borderId="21" xfId="1" applyFont="1" applyBorder="1" applyAlignment="1">
      <alignment horizontal="center"/>
    </xf>
    <xf numFmtId="0" fontId="39" fillId="0" borderId="22" xfId="1" applyFont="1" applyBorder="1" applyAlignment="1">
      <alignment horizontal="center"/>
    </xf>
    <xf numFmtId="0" fontId="39" fillId="0" borderId="23" xfId="1" quotePrefix="1" applyFont="1" applyBorder="1" applyAlignment="1">
      <alignment horizontal="center"/>
    </xf>
  </cellXfs>
  <cellStyles count="5">
    <cellStyle name="Hyperlink" xfId="4" builtinId="8"/>
    <cellStyle name="Normal" xfId="0" builtinId="0"/>
    <cellStyle name="Normal 2 2" xfId="2" xr:uid="{00000000-0005-0000-0000-000002000000}"/>
    <cellStyle name="Normal 4" xfId="3" xr:uid="{00000000-0005-0000-0000-000003000000}"/>
    <cellStyle name="Normal_Monster model v8 2" xfId="1" xr:uid="{00000000-0005-0000-0000-000004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2388994</xdr:colOff>
      <xdr:row>8</xdr:row>
      <xdr:rowOff>33089</xdr:rowOff>
    </xdr:from>
    <xdr:to>
      <xdr:col>5</xdr:col>
      <xdr:colOff>541967</xdr:colOff>
      <xdr:row>11</xdr:row>
      <xdr:rowOff>146521</xdr:rowOff>
    </xdr:to>
    <xdr:pic>
      <xdr:nvPicPr>
        <xdr:cNvPr id="5" name="Picture 4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2780880" y="1780246"/>
          <a:ext cx="2011958" cy="684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2012674</xdr:colOff>
      <xdr:row>1</xdr:row>
      <xdr:rowOff>74544</xdr:rowOff>
    </xdr:from>
    <xdr:to>
      <xdr:col>6</xdr:col>
      <xdr:colOff>1385327</xdr:colOff>
      <xdr:row>4</xdr:row>
      <xdr:rowOff>86374</xdr:rowOff>
    </xdr:to>
    <xdr:pic>
      <xdr:nvPicPr>
        <xdr:cNvPr id="3" name="Picture 2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6725478" y="265044"/>
          <a:ext cx="1832588" cy="583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111371</xdr:colOff>
      <xdr:row>0</xdr:row>
      <xdr:rowOff>52755</xdr:rowOff>
    </xdr:from>
    <xdr:to>
      <xdr:col>2</xdr:col>
      <xdr:colOff>288177</xdr:colOff>
      <xdr:row>2</xdr:row>
      <xdr:rowOff>5863</xdr:rowOff>
    </xdr:to>
    <xdr:pic>
      <xdr:nvPicPr>
        <xdr:cNvPr id="2" name="Picture 2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111371" y="52755"/>
          <a:ext cx="1020868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334228</xdr:colOff>
      <xdr:row>0</xdr:row>
      <xdr:rowOff>186603</xdr:rowOff>
    </xdr:from>
    <xdr:to>
      <xdr:col>9</xdr:col>
      <xdr:colOff>60110</xdr:colOff>
      <xdr:row>3</xdr:row>
      <xdr:rowOff>160333</xdr:rowOff>
    </xdr:to>
    <xdr:pic>
      <xdr:nvPicPr>
        <xdr:cNvPr id="4" name="Picture 3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9601493" y="186603"/>
          <a:ext cx="1832588" cy="583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297180</xdr:colOff>
      <xdr:row>66</xdr:row>
      <xdr:rowOff>22860</xdr:rowOff>
    </xdr:from>
    <xdr:ext cx="3086100" cy="153162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5669280" y="12473940"/>
          <a:ext cx="3086100" cy="15316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 b="1"/>
            <a:t>WACC: </a:t>
          </a:r>
        </a:p>
        <a:p>
          <a:r>
            <a:rPr lang="pt-BR" sz="1100"/>
            <a:t>1- What weight of the Co.</a:t>
          </a:r>
          <a:r>
            <a:rPr lang="pt-BR" sz="1100" baseline="0"/>
            <a:t> is equity</a:t>
          </a:r>
        </a:p>
        <a:p>
          <a:r>
            <a:rPr lang="pt-BR" sz="1100" baseline="0"/>
            <a:t>2 - What weight of the Co. is debt</a:t>
          </a:r>
        </a:p>
        <a:p>
          <a:r>
            <a:rPr lang="pt-BR" sz="1100" baseline="0"/>
            <a:t>3 - Calculate the cost of issuing equity</a:t>
          </a:r>
        </a:p>
        <a:p>
          <a:r>
            <a:rPr lang="pt-BR" sz="1100" baseline="0"/>
            <a:t>4 - Calculate the cost of issuing debt</a:t>
          </a:r>
        </a:p>
        <a:p>
          <a:r>
            <a:rPr lang="pt-BR" sz="1100" baseline="0"/>
            <a:t>5 - Adjust the debt component by tax, because debt and the interest expense is tax deductible</a:t>
          </a:r>
          <a:endParaRPr lang="pt-BR" sz="1100"/>
        </a:p>
      </xdr:txBody>
    </xdr:sp>
    <xdr:clientData/>
  </xdr:oneCellAnchor>
  <xdr:oneCellAnchor>
    <xdr:from>
      <xdr:col>6</xdr:col>
      <xdr:colOff>0</xdr:colOff>
      <xdr:row>80</xdr:row>
      <xdr:rowOff>0</xdr:rowOff>
    </xdr:from>
    <xdr:ext cx="3825240" cy="7848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/>
      </xdr:nvSpPr>
      <xdr:spPr>
        <a:xfrm>
          <a:off x="9014460" y="15011400"/>
          <a:ext cx="3825240" cy="784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 b="1"/>
            <a:t>CAPM:</a:t>
          </a:r>
        </a:p>
        <a:p>
          <a:r>
            <a:rPr lang="pt-BR" sz="1100" b="0"/>
            <a:t>1 - Yahoo finance</a:t>
          </a:r>
          <a:r>
            <a:rPr lang="pt-BR" sz="1100" b="0" baseline="0"/>
            <a:t> type 30 --&gt; treasury yield 30 years (TYX);</a:t>
          </a:r>
        </a:p>
        <a:p>
          <a:r>
            <a:rPr lang="pt-BR" sz="1100" b="0" baseline="0"/>
            <a:t>2 - Equity risk premium --&gt;  LT S&amp;P 500 return (normally range from 8% - 10%)</a:t>
          </a:r>
          <a:endParaRPr lang="pt-BR" sz="1100" b="0"/>
        </a:p>
      </xdr:txBody>
    </xdr:sp>
    <xdr:clientData/>
  </xdr:oneCellAnchor>
  <xdr:oneCellAnchor>
    <xdr:from>
      <xdr:col>4</xdr:col>
      <xdr:colOff>182880</xdr:colOff>
      <xdr:row>88</xdr:row>
      <xdr:rowOff>121920</xdr:rowOff>
    </xdr:from>
    <xdr:ext cx="7330440" cy="895540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 txBox="1"/>
      </xdr:nvSpPr>
      <xdr:spPr>
        <a:xfrm>
          <a:off x="7048500" y="16619220"/>
          <a:ext cx="7330440" cy="89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 b="1"/>
            <a:t>WACC:</a:t>
          </a:r>
          <a:r>
            <a:rPr lang="pt-BR" sz="1100" b="1" baseline="0"/>
            <a:t> </a:t>
          </a:r>
          <a:br>
            <a:rPr lang="pt-BR" sz="1100" b="1" baseline="0"/>
          </a:br>
          <a:r>
            <a:rPr lang="pt-BR" sz="1100" b="0" baseline="0"/>
            <a:t>Is the combination for the equity weight * the costs of raising capital from equity holders</a:t>
          </a:r>
          <a:br>
            <a:rPr lang="pt-BR" sz="1100" b="0" baseline="0"/>
          </a:br>
          <a:r>
            <a:rPr lang="pt-BR" sz="1100" b="0" baseline="0"/>
            <a:t>add the debt structure (weigth of debt) * the interest expense rate * 1- tax rate (we do that because interest expense is deductible</a:t>
          </a:r>
          <a:endParaRPr lang="pt-BR" sz="1100" b="1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603449</xdr:colOff>
      <xdr:row>9</xdr:row>
      <xdr:rowOff>88424</xdr:rowOff>
    </xdr:from>
    <xdr:to>
      <xdr:col>3</xdr:col>
      <xdr:colOff>3399</xdr:colOff>
      <xdr:row>11</xdr:row>
      <xdr:rowOff>3017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603449" y="2593499"/>
          <a:ext cx="1038250" cy="1171893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Discounted Cash Flow Analysis</a:t>
          </a:r>
        </a:p>
      </xdr:txBody>
    </xdr:sp>
    <xdr:clientData/>
  </xdr:twoCellAnchor>
  <xdr:twoCellAnchor>
    <xdr:from>
      <xdr:col>10</xdr:col>
      <xdr:colOff>576470</xdr:colOff>
      <xdr:row>19</xdr:row>
      <xdr:rowOff>19877</xdr:rowOff>
    </xdr:from>
    <xdr:to>
      <xdr:col>16</xdr:col>
      <xdr:colOff>26504</xdr:colOff>
      <xdr:row>25</xdr:row>
      <xdr:rowOff>159026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8859079" y="5261112"/>
          <a:ext cx="3107634" cy="1252331"/>
        </a:xfrm>
        <a:prstGeom prst="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/>
            <a:t>Based on 40 Wall Street analysts offering 12 month price targets for Amazon in the last 3 months. </a:t>
          </a:r>
          <a:r>
            <a:rPr lang="pt-BR" b="1"/>
            <a:t>The average price target is $176.04 with a high forecast of $270.00 </a:t>
          </a:r>
          <a:r>
            <a:rPr lang="pt-BR"/>
            <a:t>and a </a:t>
          </a:r>
          <a:r>
            <a:rPr lang="pt-BR" b="1"/>
            <a:t>low forecast of $118.00. </a:t>
          </a:r>
          <a:r>
            <a:rPr lang="pt-BR"/>
            <a:t>The average price target represents a 23.48% change from the last price of $142.57.</a:t>
          </a:r>
        </a:p>
        <a:p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859952</xdr:colOff>
      <xdr:row>1</xdr:row>
      <xdr:rowOff>91441</xdr:rowOff>
    </xdr:from>
    <xdr:to>
      <xdr:col>11</xdr:col>
      <xdr:colOff>594073</xdr:colOff>
      <xdr:row>4</xdr:row>
      <xdr:rowOff>119375</xdr:rowOff>
    </xdr:to>
    <xdr:pic>
      <xdr:nvPicPr>
        <xdr:cNvPr id="2" name="Picture 1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10621172" y="281941"/>
          <a:ext cx="1882961" cy="5994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336024</xdr:colOff>
      <xdr:row>1</xdr:row>
      <xdr:rowOff>145676</xdr:rowOff>
    </xdr:from>
    <xdr:to>
      <xdr:col>12</xdr:col>
      <xdr:colOff>3096</xdr:colOff>
      <xdr:row>4</xdr:row>
      <xdr:rowOff>51217</xdr:rowOff>
    </xdr:to>
    <xdr:pic>
      <xdr:nvPicPr>
        <xdr:cNvPr id="2" name="Picture 1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9367965" y="145676"/>
          <a:ext cx="1370366" cy="4434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199873</xdr:colOff>
      <xdr:row>1</xdr:row>
      <xdr:rowOff>57150</xdr:rowOff>
    </xdr:from>
    <xdr:to>
      <xdr:col>11</xdr:col>
      <xdr:colOff>722514</xdr:colOff>
      <xdr:row>3</xdr:row>
      <xdr:rowOff>119573</xdr:rowOff>
    </xdr:to>
    <xdr:pic>
      <xdr:nvPicPr>
        <xdr:cNvPr id="2" name="Picture 1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9562948" y="247650"/>
          <a:ext cx="1370366" cy="4434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27690</xdr:colOff>
      <xdr:row>1</xdr:row>
      <xdr:rowOff>150934</xdr:rowOff>
    </xdr:from>
    <xdr:to>
      <xdr:col>11</xdr:col>
      <xdr:colOff>573043</xdr:colOff>
      <xdr:row>4</xdr:row>
      <xdr:rowOff>110780</xdr:rowOff>
    </xdr:to>
    <xdr:pic>
      <xdr:nvPicPr>
        <xdr:cNvPr id="2" name="Picture 1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8562090" y="312859"/>
          <a:ext cx="1368900" cy="445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476451</xdr:colOff>
      <xdr:row>3</xdr:row>
      <xdr:rowOff>78274</xdr:rowOff>
    </xdr:from>
    <xdr:to>
      <xdr:col>9</xdr:col>
      <xdr:colOff>155698</xdr:colOff>
      <xdr:row>5</xdr:row>
      <xdr:rowOff>142895</xdr:rowOff>
    </xdr:to>
    <xdr:pic>
      <xdr:nvPicPr>
        <xdr:cNvPr id="2" name="Picture 1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8659668" y="649774"/>
          <a:ext cx="1368900" cy="445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3057931</xdr:colOff>
      <xdr:row>7</xdr:row>
      <xdr:rowOff>14630</xdr:rowOff>
    </xdr:from>
    <xdr:to>
      <xdr:col>6</xdr:col>
      <xdr:colOff>46109</xdr:colOff>
      <xdr:row>9</xdr:row>
      <xdr:rowOff>105448</xdr:rowOff>
    </xdr:to>
    <xdr:pic>
      <xdr:nvPicPr>
        <xdr:cNvPr id="3" name="Picture 2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3448224" y="1441057"/>
          <a:ext cx="1829665" cy="583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330476</xdr:colOff>
      <xdr:row>1</xdr:row>
      <xdr:rowOff>30647</xdr:rowOff>
    </xdr:from>
    <xdr:to>
      <xdr:col>21</xdr:col>
      <xdr:colOff>67564</xdr:colOff>
      <xdr:row>4</xdr:row>
      <xdr:rowOff>67324</xdr:rowOff>
    </xdr:to>
    <xdr:pic>
      <xdr:nvPicPr>
        <xdr:cNvPr id="3" name="Picture 2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11097867" y="212864"/>
          <a:ext cx="1832588" cy="583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94007</xdr:colOff>
      <xdr:row>1</xdr:row>
      <xdr:rowOff>47625</xdr:rowOff>
    </xdr:from>
    <xdr:to>
      <xdr:col>11</xdr:col>
      <xdr:colOff>463555</xdr:colOff>
      <xdr:row>4</xdr:row>
      <xdr:rowOff>59455</xdr:rowOff>
    </xdr:to>
    <xdr:pic>
      <xdr:nvPicPr>
        <xdr:cNvPr id="3" name="Picture 2" descr="Download Amazon vector logo (.EPS + .AI) free | Amazon logo ...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63" b="34194"/>
        <a:stretch/>
      </xdr:blipFill>
      <xdr:spPr bwMode="auto">
        <a:xfrm>
          <a:off x="8895107" y="238125"/>
          <a:ext cx="1832588" cy="583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601980</xdr:colOff>
      <xdr:row>35</xdr:row>
      <xdr:rowOff>198120</xdr:rowOff>
    </xdr:from>
    <xdr:to>
      <xdr:col>8</xdr:col>
      <xdr:colOff>228600</xdr:colOff>
      <xdr:row>40</xdr:row>
      <xdr:rowOff>83820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659880" y="7894320"/>
          <a:ext cx="2125980" cy="1143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Here</a:t>
          </a:r>
          <a:r>
            <a:rPr lang="pt-BR" sz="1100" baseline="0"/>
            <a:t> the maths should start from the bottom to up. So from the implied share price all the way to the implied Enterprise value reference range</a:t>
          </a:r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s://www.sec.gov/Archives/edgar/data/883980/000119312519074204/d685125ddefm14a.htm" TargetMode="External"/><Relationship Id="rId1" Type="http://schemas.openxmlformats.org/officeDocument/2006/relationships/hyperlink" Target="https://www.sec.gov/Archives/edgar/data/865436/000157104917006849/t1702075-defm14a.htm" TargetMode="External"/><Relationship Id="rId6" Type="http://schemas.openxmlformats.org/officeDocument/2006/relationships/comments" Target="../comments10.xml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5:F20"/>
  <sheetViews>
    <sheetView showGridLines="0" tabSelected="1" view="pageBreakPreview" zoomScale="160" zoomScaleNormal="160" zoomScaleSheetLayoutView="160" workbookViewId="0">
      <selection activeCell="D5" sqref="D5"/>
    </sheetView>
  </sheetViews>
  <sheetFormatPr defaultRowHeight="14.4" x14ac:dyDescent="0.3"/>
  <cols>
    <col min="1" max="1" width="2.6640625" customWidth="1"/>
    <col min="2" max="2" width="1.109375" customWidth="1"/>
    <col min="3" max="3" width="2" bestFit="1" customWidth="1"/>
    <col min="4" max="4" width="44.5546875" customWidth="1"/>
    <col min="5" max="5" width="13.33203125" bestFit="1" customWidth="1"/>
    <col min="7" max="7" width="1.88671875" customWidth="1"/>
  </cols>
  <sheetData>
    <row r="5" spans="3:6" ht="33" thickBot="1" x14ac:dyDescent="0.65">
      <c r="C5" s="2" t="s">
        <v>26</v>
      </c>
      <c r="D5" s="3"/>
      <c r="E5" s="3"/>
      <c r="F5" s="3"/>
    </row>
    <row r="6" spans="3:6" ht="5.0999999999999996" customHeight="1" x14ac:dyDescent="0.3"/>
    <row r="7" spans="3:6" ht="24.9" customHeight="1" x14ac:dyDescent="0.3">
      <c r="D7" s="5" t="s">
        <v>23</v>
      </c>
    </row>
    <row r="8" spans="3:6" x14ac:dyDescent="0.3">
      <c r="C8">
        <v>1</v>
      </c>
      <c r="D8" s="4" t="s">
        <v>9</v>
      </c>
    </row>
    <row r="9" spans="3:6" x14ac:dyDescent="0.3">
      <c r="C9">
        <f>C8+1</f>
        <v>2</v>
      </c>
      <c r="D9" s="4" t="s">
        <v>10</v>
      </c>
    </row>
    <row r="10" spans="3:6" x14ac:dyDescent="0.3">
      <c r="C10">
        <f>C9+1</f>
        <v>3</v>
      </c>
      <c r="D10" s="4" t="s">
        <v>11</v>
      </c>
    </row>
    <row r="11" spans="3:6" x14ac:dyDescent="0.3">
      <c r="C11">
        <f>C10+1</f>
        <v>4</v>
      </c>
      <c r="D11" s="4" t="s">
        <v>8</v>
      </c>
    </row>
    <row r="12" spans="3:6" x14ac:dyDescent="0.3">
      <c r="C12">
        <f>C11+1</f>
        <v>5</v>
      </c>
      <c r="D12" s="4" t="s">
        <v>28</v>
      </c>
    </row>
    <row r="13" spans="3:6" x14ac:dyDescent="0.3">
      <c r="D13" s="4"/>
    </row>
    <row r="14" spans="3:6" ht="24.9" customHeight="1" x14ac:dyDescent="0.3">
      <c r="D14" s="5" t="s">
        <v>24</v>
      </c>
    </row>
    <row r="15" spans="3:6" x14ac:dyDescent="0.3">
      <c r="C15">
        <v>1</v>
      </c>
      <c r="D15" s="4" t="s">
        <v>25</v>
      </c>
      <c r="E15" t="s">
        <v>27</v>
      </c>
      <c r="F15" s="6"/>
    </row>
    <row r="16" spans="3:6" x14ac:dyDescent="0.3">
      <c r="C16">
        <f>C15+1</f>
        <v>2</v>
      </c>
      <c r="D16" s="4" t="s">
        <v>12</v>
      </c>
      <c r="E16" t="s">
        <v>15</v>
      </c>
      <c r="F16" s="7"/>
    </row>
    <row r="17" spans="3:6" x14ac:dyDescent="0.3">
      <c r="C17">
        <f>C16+1</f>
        <v>3</v>
      </c>
      <c r="D17" s="4" t="s">
        <v>13</v>
      </c>
      <c r="E17" t="s">
        <v>16</v>
      </c>
      <c r="F17" s="9"/>
    </row>
    <row r="18" spans="3:6" x14ac:dyDescent="0.3">
      <c r="C18">
        <f>C17+1</f>
        <v>4</v>
      </c>
      <c r="D18" s="4" t="s">
        <v>29</v>
      </c>
      <c r="E18" t="s">
        <v>17</v>
      </c>
      <c r="F18" s="8"/>
    </row>
    <row r="19" spans="3:6" x14ac:dyDescent="0.3">
      <c r="C19">
        <f>C18+1</f>
        <v>5</v>
      </c>
      <c r="D19" s="4" t="s">
        <v>14</v>
      </c>
    </row>
    <row r="20" spans="3:6" ht="5.25" customHeight="1" x14ac:dyDescent="0.3">
      <c r="C20" s="1"/>
      <c r="D20" s="1"/>
      <c r="E20" s="1"/>
      <c r="F20" s="1"/>
    </row>
  </sheetData>
  <pageMargins left="0.7" right="0.7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5:Y32"/>
  <sheetViews>
    <sheetView showGridLines="0" topLeftCell="A7" zoomScale="115" zoomScaleNormal="115" workbookViewId="0">
      <pane xSplit="2" ySplit="2" topLeftCell="H16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defaultColWidth="9.109375" defaultRowHeight="13.8" outlineLevelRow="1" x14ac:dyDescent="0.25"/>
  <cols>
    <col min="1" max="1" width="9.109375" style="140"/>
    <col min="2" max="2" width="44.88671875" style="140" customWidth="1"/>
    <col min="3" max="3" width="16.5546875" style="140" bestFit="1" customWidth="1"/>
    <col min="4" max="4" width="1" style="140" customWidth="1"/>
    <col min="5" max="5" width="14.6640625" style="140" bestFit="1" customWidth="1"/>
    <col min="6" max="6" width="2.33203125" style="140" customWidth="1"/>
    <col min="7" max="7" width="14.6640625" style="140" bestFit="1" customWidth="1"/>
    <col min="8" max="8" width="1.33203125" style="140" customWidth="1"/>
    <col min="9" max="11" width="9.109375" style="140"/>
    <col min="12" max="12" width="2.6640625" style="140" customWidth="1"/>
    <col min="13" max="13" width="9.109375" style="140"/>
    <col min="14" max="14" width="3.33203125" style="140" customWidth="1"/>
    <col min="15" max="17" width="9.109375" style="140"/>
    <col min="18" max="18" width="1.5546875" style="140" customWidth="1"/>
    <col min="19" max="19" width="9.109375" style="140"/>
    <col min="20" max="20" width="2.33203125" style="140" customWidth="1"/>
    <col min="21" max="21" width="9.109375" style="261"/>
    <col min="22" max="16384" width="9.109375" style="140"/>
  </cols>
  <sheetData>
    <row r="5" spans="2:21" ht="22.8" x14ac:dyDescent="0.4">
      <c r="B5" s="372" t="s">
        <v>335</v>
      </c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4"/>
      <c r="T5" s="373"/>
      <c r="U5" s="374"/>
    </row>
    <row r="6" spans="2:21" x14ac:dyDescent="0.25">
      <c r="B6" s="449" t="s">
        <v>324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4"/>
      <c r="T6" s="373"/>
      <c r="U6" s="374"/>
    </row>
    <row r="7" spans="2:21" s="11" customFormat="1" ht="13.2" x14ac:dyDescent="0.25">
      <c r="B7" s="426"/>
      <c r="C7" s="427" t="s">
        <v>310</v>
      </c>
      <c r="D7" s="426"/>
      <c r="E7" s="427" t="s">
        <v>311</v>
      </c>
      <c r="F7" s="427"/>
      <c r="G7" s="427" t="s">
        <v>312</v>
      </c>
      <c r="H7" s="426"/>
      <c r="I7" s="428" t="s">
        <v>313</v>
      </c>
      <c r="J7" s="428"/>
      <c r="K7" s="428"/>
      <c r="L7" s="426"/>
      <c r="M7" s="427" t="s">
        <v>314</v>
      </c>
      <c r="N7" s="426"/>
      <c r="O7" s="428" t="s">
        <v>325</v>
      </c>
      <c r="P7" s="428"/>
      <c r="Q7" s="428"/>
      <c r="R7" s="426"/>
      <c r="S7" s="427" t="s">
        <v>315</v>
      </c>
      <c r="T7" s="427"/>
      <c r="U7" s="427" t="s">
        <v>316</v>
      </c>
    </row>
    <row r="8" spans="2:21" s="11" customFormat="1" ht="13.2" x14ac:dyDescent="0.25">
      <c r="B8" s="426" t="s">
        <v>317</v>
      </c>
      <c r="C8" s="429">
        <v>44569</v>
      </c>
      <c r="D8" s="426"/>
      <c r="E8" s="427" t="s">
        <v>318</v>
      </c>
      <c r="F8" s="427"/>
      <c r="G8" s="427" t="s">
        <v>319</v>
      </c>
      <c r="H8" s="426"/>
      <c r="I8" s="427" t="s">
        <v>320</v>
      </c>
      <c r="J8" s="427" t="s">
        <v>85</v>
      </c>
      <c r="K8" s="427" t="s">
        <v>321</v>
      </c>
      <c r="L8" s="427"/>
      <c r="M8" s="427" t="s">
        <v>577</v>
      </c>
      <c r="N8" s="427"/>
      <c r="O8" s="427" t="s">
        <v>322</v>
      </c>
      <c r="P8" s="427" t="s">
        <v>85</v>
      </c>
      <c r="Q8" s="427" t="s">
        <v>81</v>
      </c>
      <c r="R8" s="426"/>
      <c r="S8" s="427" t="s">
        <v>85</v>
      </c>
      <c r="T8" s="427"/>
      <c r="U8" s="427" t="s">
        <v>323</v>
      </c>
    </row>
    <row r="9" spans="2:21" s="11" customFormat="1" ht="13.2" x14ac:dyDescent="0.25">
      <c r="B9" s="430" t="s">
        <v>336</v>
      </c>
      <c r="C9" s="375"/>
      <c r="D9" s="375"/>
      <c r="E9" s="375"/>
      <c r="F9" s="375"/>
      <c r="G9" s="375"/>
      <c r="H9" s="375"/>
      <c r="I9" s="431"/>
      <c r="J9" s="431"/>
      <c r="K9" s="431"/>
      <c r="L9" s="375"/>
      <c r="M9" s="375"/>
      <c r="N9" s="375"/>
      <c r="O9" s="431"/>
      <c r="P9" s="431"/>
      <c r="Q9" s="431"/>
      <c r="R9" s="375"/>
      <c r="S9" s="431"/>
      <c r="T9" s="375"/>
      <c r="U9" s="431"/>
    </row>
    <row r="10" spans="2:21" s="11" customFormat="1" ht="20.100000000000001" customHeight="1" x14ac:dyDescent="0.25">
      <c r="B10" s="432" t="s">
        <v>328</v>
      </c>
      <c r="C10" s="249">
        <v>133.02000000000001</v>
      </c>
      <c r="D10" s="249"/>
      <c r="E10" s="433">
        <v>361970</v>
      </c>
      <c r="F10" s="433"/>
      <c r="G10" s="433">
        <v>416970</v>
      </c>
      <c r="H10" s="434"/>
      <c r="I10" s="435">
        <v>0.72</v>
      </c>
      <c r="J10" s="435">
        <v>13.76</v>
      </c>
      <c r="K10" s="435">
        <v>28.46</v>
      </c>
      <c r="L10" s="434"/>
      <c r="M10" s="436">
        <f>6.97/6.43-1</f>
        <v>8.3981337480559803E-2</v>
      </c>
      <c r="N10" s="434"/>
      <c r="O10" s="254">
        <f>143.75/576.01</f>
        <v>0.24956163955486885</v>
      </c>
      <c r="P10" s="254">
        <f>35.03/576.01</f>
        <v>6.0814916407701258E-2</v>
      </c>
      <c r="Q10" s="254">
        <v>4.2299999999999997E-2</v>
      </c>
      <c r="R10" s="434"/>
      <c r="S10" s="435">
        <f>68.48/35.03</f>
        <v>1.9548958035969171</v>
      </c>
      <c r="T10" s="434"/>
      <c r="U10" s="437">
        <v>0.52</v>
      </c>
    </row>
    <row r="11" spans="2:21" s="11" customFormat="1" ht="20.100000000000001" customHeight="1" x14ac:dyDescent="0.25">
      <c r="B11" s="59" t="s">
        <v>326</v>
      </c>
      <c r="C11" s="169">
        <v>116.01</v>
      </c>
      <c r="D11" s="169"/>
      <c r="E11" s="256">
        <v>1520000</v>
      </c>
      <c r="F11" s="256"/>
      <c r="G11" s="256">
        <v>1420000</v>
      </c>
      <c r="I11" s="438">
        <f>5.12</f>
        <v>5.12</v>
      </c>
      <c r="J11" s="438">
        <v>14.2</v>
      </c>
      <c r="K11" s="438">
        <v>21.66</v>
      </c>
      <c r="M11" s="439">
        <f>5.99/5.18-1</f>
        <v>0.15637065637065639</v>
      </c>
      <c r="O11" s="57">
        <f>146.7/278.14</f>
        <v>0.52743222837420001</v>
      </c>
      <c r="P11" s="57">
        <f>96.89/278.14</f>
        <v>0.34834975192349177</v>
      </c>
      <c r="Q11" s="57">
        <v>0.29665000000000002</v>
      </c>
      <c r="S11" s="438">
        <f>28.81/96.89</f>
        <v>0.29734750748271233</v>
      </c>
      <c r="U11" s="440">
        <v>1.1000000000000001</v>
      </c>
    </row>
    <row r="12" spans="2:21" s="11" customFormat="1" ht="20.100000000000001" customHeight="1" x14ac:dyDescent="0.25">
      <c r="B12" s="59" t="s">
        <v>327</v>
      </c>
      <c r="C12" s="169">
        <v>163.63999999999999</v>
      </c>
      <c r="D12" s="169"/>
      <c r="E12" s="256">
        <v>434960</v>
      </c>
      <c r="F12" s="256"/>
      <c r="G12" s="256">
        <v>405120</v>
      </c>
      <c r="I12" s="438">
        <v>3.39</v>
      </c>
      <c r="J12" s="438">
        <v>8.43</v>
      </c>
      <c r="K12" s="438">
        <v>12.18</v>
      </c>
      <c r="M12" s="439">
        <f>11.99/10.4-1</f>
        <v>0.15288461538461529</v>
      </c>
      <c r="O12" s="57">
        <f>95.28/119.41</f>
        <v>0.79792312201658155</v>
      </c>
      <c r="P12" s="57">
        <f>48.03/119.41</f>
        <v>0.40222761912737631</v>
      </c>
      <c r="Q12" s="57">
        <v>0.33400000000000002</v>
      </c>
      <c r="S12" s="438">
        <f>16.68/48.03</f>
        <v>0.34728294815740163</v>
      </c>
      <c r="U12" s="440">
        <v>1.41</v>
      </c>
    </row>
    <row r="13" spans="2:21" s="11" customFormat="1" ht="20.100000000000001" customHeight="1" x14ac:dyDescent="0.25">
      <c r="B13" s="59" t="s">
        <v>329</v>
      </c>
      <c r="C13" s="169">
        <v>102.25</v>
      </c>
      <c r="D13" s="169"/>
      <c r="E13" s="256">
        <v>16540</v>
      </c>
      <c r="F13" s="256"/>
      <c r="G13" s="256">
        <v>19060</v>
      </c>
      <c r="I13" s="438">
        <v>1.99</v>
      </c>
      <c r="J13" s="681">
        <v>11.62</v>
      </c>
      <c r="K13" s="438">
        <v>66.23</v>
      </c>
      <c r="M13" s="439">
        <f>9.56/7.07-1</f>
        <v>0.35219236209335225</v>
      </c>
      <c r="O13" s="57">
        <f>7.08/9.6</f>
        <v>0.73750000000000004</v>
      </c>
      <c r="P13" s="57">
        <f>0.703/9.6</f>
        <v>7.3229166666666665E-2</v>
      </c>
      <c r="Q13" s="57">
        <v>5.0900000000000001E-2</v>
      </c>
      <c r="S13" s="438">
        <f>8.07/0.703</f>
        <v>11.47937411095306</v>
      </c>
      <c r="U13" s="440">
        <v>1.62</v>
      </c>
    </row>
    <row r="14" spans="2:21" s="11" customFormat="1" ht="20.100000000000001" customHeight="1" x14ac:dyDescent="0.25">
      <c r="B14" s="59" t="s">
        <v>330</v>
      </c>
      <c r="C14" s="169">
        <v>48.98</v>
      </c>
      <c r="D14" s="169"/>
      <c r="E14" s="256">
        <v>27230</v>
      </c>
      <c r="F14" s="256"/>
      <c r="G14" s="256">
        <v>30630</v>
      </c>
      <c r="I14" s="438">
        <v>2.98</v>
      </c>
      <c r="J14" s="438" t="s">
        <v>337</v>
      </c>
      <c r="K14" s="438" t="s">
        <v>337</v>
      </c>
      <c r="M14" s="439">
        <f>4.37/3.98-1</f>
        <v>9.7989949748743754E-2</v>
      </c>
      <c r="O14" s="57">
        <f>7.77/10.26</f>
        <v>0.75730994152046782</v>
      </c>
      <c r="P14" s="57">
        <f>3.26/10.26</f>
        <v>0.31773879142300193</v>
      </c>
      <c r="Q14" s="57">
        <v>0.27039999999999997</v>
      </c>
      <c r="S14" s="438">
        <f>8.96/3.26</f>
        <v>2.7484662576687122</v>
      </c>
      <c r="U14" s="440">
        <v>1.18</v>
      </c>
    </row>
    <row r="15" spans="2:21" s="11" customFormat="1" ht="20.100000000000001" customHeight="1" x14ac:dyDescent="0.25">
      <c r="B15" s="59" t="s">
        <v>331</v>
      </c>
      <c r="C15" s="169">
        <v>56.27</v>
      </c>
      <c r="D15" s="169"/>
      <c r="E15" s="256">
        <v>5540</v>
      </c>
      <c r="F15" s="256"/>
      <c r="G15" s="256">
        <v>7490</v>
      </c>
      <c r="I15" s="438">
        <v>0.56999999999999995</v>
      </c>
      <c r="J15" s="438" t="s">
        <v>337</v>
      </c>
      <c r="K15" s="438" t="s">
        <v>337</v>
      </c>
      <c r="M15" s="439" t="s">
        <v>337</v>
      </c>
      <c r="O15" s="57">
        <f>3.9/13.22</f>
        <v>0.29500756429652042</v>
      </c>
      <c r="P15" s="682" t="s">
        <v>337</v>
      </c>
      <c r="Q15" s="682" t="s">
        <v>337</v>
      </c>
      <c r="S15" s="438" t="s">
        <v>337</v>
      </c>
      <c r="U15" s="440">
        <v>2.91</v>
      </c>
    </row>
    <row r="16" spans="2:21" s="11" customFormat="1" ht="20.100000000000001" customHeight="1" x14ac:dyDescent="0.25">
      <c r="B16" s="59" t="s">
        <v>332</v>
      </c>
      <c r="C16" s="169">
        <v>1902.38</v>
      </c>
      <c r="D16" s="169"/>
      <c r="E16" s="256">
        <v>7830</v>
      </c>
      <c r="F16" s="256"/>
      <c r="G16" s="256">
        <v>78200</v>
      </c>
      <c r="I16" s="438">
        <v>6.25</v>
      </c>
      <c r="J16" s="438">
        <v>43.71</v>
      </c>
      <c r="K16" s="438">
        <v>155.97999999999999</v>
      </c>
      <c r="M16" s="439">
        <f>128.27/99.23-1</f>
        <v>0.29265343142194911</v>
      </c>
      <c r="O16" s="439">
        <f>8.78/12.51</f>
        <v>0.70183852917665868</v>
      </c>
      <c r="P16" s="57">
        <f>3.58/12.51</f>
        <v>0.28617106314948043</v>
      </c>
      <c r="Q16" s="57">
        <v>0.25240000000000001</v>
      </c>
      <c r="S16" s="438">
        <f>10.12/3.58</f>
        <v>2.8268156424581004</v>
      </c>
      <c r="U16" s="440">
        <v>1.25</v>
      </c>
    </row>
    <row r="17" spans="1:25" s="11" customFormat="1" ht="20.100000000000001" customHeight="1" x14ac:dyDescent="0.25">
      <c r="B17" s="59" t="s">
        <v>333</v>
      </c>
      <c r="C17" s="169">
        <v>35.83</v>
      </c>
      <c r="D17" s="169"/>
      <c r="E17" s="256">
        <v>8560</v>
      </c>
      <c r="F17" s="256"/>
      <c r="G17" s="256">
        <v>7650</v>
      </c>
      <c r="I17" s="438">
        <v>0.68</v>
      </c>
      <c r="J17" s="438" t="s">
        <v>337</v>
      </c>
      <c r="K17" s="438" t="s">
        <v>337</v>
      </c>
      <c r="M17" s="439">
        <f>2.2/1.64-1</f>
        <v>0.34146341463414642</v>
      </c>
      <c r="O17" s="57">
        <f>1.76/11.19</f>
        <v>0.15728328865058089</v>
      </c>
      <c r="P17" s="682" t="s">
        <v>337</v>
      </c>
      <c r="Q17" s="682" t="s">
        <v>337</v>
      </c>
      <c r="S17" s="438" t="s">
        <v>337</v>
      </c>
      <c r="U17" s="440">
        <v>1.54</v>
      </c>
    </row>
    <row r="18" spans="1:25" s="11" customFormat="1" ht="20.100000000000001" customHeight="1" x14ac:dyDescent="0.25">
      <c r="B18" s="59" t="s">
        <v>334</v>
      </c>
      <c r="C18" s="169">
        <v>88.86</v>
      </c>
      <c r="D18" s="169"/>
      <c r="E18" s="256">
        <v>251250</v>
      </c>
      <c r="F18" s="256"/>
      <c r="G18" s="256">
        <v>210040</v>
      </c>
      <c r="I18" s="438">
        <v>0.25</v>
      </c>
      <c r="J18" s="438">
        <v>1.64</v>
      </c>
      <c r="K18" s="438">
        <v>26.62</v>
      </c>
      <c r="M18" s="439">
        <f>8.86/7.38-1</f>
        <v>0.20054200542005418</v>
      </c>
      <c r="O18" s="57">
        <f>314.36/853.06</f>
        <v>0.36850866293109513</v>
      </c>
      <c r="P18" s="57">
        <f>142.22/853.06</f>
        <v>0.16671746418774766</v>
      </c>
      <c r="Q18" s="57">
        <v>0.11310000000000001</v>
      </c>
      <c r="S18" s="438">
        <f>176.6/142.22</f>
        <v>1.2417381521586275</v>
      </c>
      <c r="U18" s="440">
        <v>0.73</v>
      </c>
    </row>
    <row r="19" spans="1:25" s="11" customFormat="1" ht="13.2" x14ac:dyDescent="0.25">
      <c r="U19" s="188"/>
    </row>
    <row r="20" spans="1:25" s="441" customFormat="1" ht="20.100000000000001" customHeight="1" x14ac:dyDescent="0.3">
      <c r="G20" s="442" t="s">
        <v>595</v>
      </c>
      <c r="H20" s="442"/>
      <c r="I20" s="443">
        <f>AVERAGE(I10:I18)</f>
        <v>2.4388888888888891</v>
      </c>
      <c r="J20" s="443">
        <f>AVERAGE(J10:J18)</f>
        <v>15.56</v>
      </c>
      <c r="K20" s="443">
        <f>AVERAGE(K10:K18)</f>
        <v>51.854999999999997</v>
      </c>
      <c r="L20" s="442"/>
      <c r="M20" s="444">
        <f>AVERAGE(M10:M18)</f>
        <v>0.20975972156925965</v>
      </c>
      <c r="N20" s="442"/>
      <c r="O20" s="450">
        <f>AVERAGE(O10:O18)</f>
        <v>0.5102627751689971</v>
      </c>
      <c r="P20" s="444">
        <f>AVERAGE(P10:P18)</f>
        <v>0.23646411041220941</v>
      </c>
      <c r="Q20" s="444">
        <f>AVERAGE(Q10:Q18)</f>
        <v>0.19425000000000001</v>
      </c>
      <c r="R20" s="442"/>
      <c r="S20" s="443">
        <f>AVERAGE(S10:S18)</f>
        <v>2.9851314889250764</v>
      </c>
      <c r="T20" s="442"/>
      <c r="U20" s="445">
        <f>AVERAGE(U10:U18)</f>
        <v>1.3622222222222224</v>
      </c>
    </row>
    <row r="21" spans="1:25" s="441" customFormat="1" ht="20.100000000000001" customHeight="1" x14ac:dyDescent="0.3">
      <c r="G21" s="442" t="s">
        <v>274</v>
      </c>
      <c r="H21" s="442"/>
      <c r="I21" s="443">
        <f>MEDIAN(I10:I18)</f>
        <v>1.99</v>
      </c>
      <c r="J21" s="443">
        <f>MEDIAN(J10:J18)</f>
        <v>12.69</v>
      </c>
      <c r="K21" s="443">
        <f>MEDIAN(K10:K18)</f>
        <v>27.54</v>
      </c>
      <c r="L21" s="442"/>
      <c r="M21" s="444">
        <f>MEDIAN(M10:M18)</f>
        <v>0.17845633089535529</v>
      </c>
      <c r="N21" s="442"/>
      <c r="O21" s="450">
        <f>MEDIAN(O10:O18)</f>
        <v>0.52743222837420001</v>
      </c>
      <c r="P21" s="444">
        <f>MEDIAN(P10:P18)</f>
        <v>0.28617106314948043</v>
      </c>
      <c r="Q21" s="444">
        <f>MEDIAN(Q10:Q18)</f>
        <v>0.25240000000000001</v>
      </c>
      <c r="R21" s="442"/>
      <c r="S21" s="443">
        <f>MEDIAN(S10:S18)</f>
        <v>1.9548958035969171</v>
      </c>
      <c r="T21" s="442"/>
      <c r="U21" s="445">
        <f>MEDIAN(U10:U18)</f>
        <v>1.25</v>
      </c>
    </row>
    <row r="22" spans="1:25" s="11" customFormat="1" ht="5.0999999999999996" customHeight="1" x14ac:dyDescent="0.25">
      <c r="G22" s="12"/>
      <c r="H22" s="12"/>
      <c r="I22" s="446"/>
      <c r="J22" s="446"/>
      <c r="K22" s="446"/>
      <c r="L22" s="12"/>
      <c r="M22" s="447"/>
      <c r="N22" s="12"/>
      <c r="O22" s="447"/>
      <c r="P22" s="447"/>
      <c r="Q22" s="447"/>
      <c r="R22" s="12"/>
      <c r="S22" s="446"/>
      <c r="T22" s="12"/>
      <c r="U22" s="448"/>
    </row>
    <row r="23" spans="1:25" s="11" customFormat="1" ht="13.2" x14ac:dyDescent="0.25">
      <c r="U23" s="188"/>
    </row>
    <row r="24" spans="1:25" s="11" customFormat="1" ht="13.2" x14ac:dyDescent="0.25">
      <c r="A24" s="11" t="s">
        <v>339</v>
      </c>
      <c r="B24" s="462" t="str">
        <f ca="1">INDIRECT($A24 &amp;"!"&amp;B$28)</f>
        <v>Amazon.com, Inc. (AMZN)</v>
      </c>
      <c r="C24" s="463">
        <f ca="1">INDIRECT($A24 &amp;"!"&amp;C$28)</f>
        <v>142.57</v>
      </c>
      <c r="D24" s="463"/>
      <c r="E24" s="258">
        <f ca="1">INDIRECT($A24 &amp;"!"&amp;E$28)</f>
        <v>1452.43957378</v>
      </c>
      <c r="F24" s="258"/>
      <c r="G24" s="258">
        <f ca="1">INDIRECT($A24 &amp;"!"&amp;G$28)</f>
        <v>65319.439573780001</v>
      </c>
      <c r="H24" s="462"/>
      <c r="I24" s="464">
        <f ca="1">INDIRECT($A24 &amp;"!"&amp;I$28)</f>
        <v>0.13442924617264387</v>
      </c>
      <c r="J24" s="464">
        <f ca="1">INDIRECT($A24 &amp;"!"&amp;J$28)</f>
        <v>1.141369577902462</v>
      </c>
      <c r="K24" s="464">
        <f ca="1">INDIRECT($A24 &amp;"!"&amp;K$28)</f>
        <v>124.95602739726026</v>
      </c>
      <c r="L24" s="462"/>
      <c r="M24" s="465">
        <f ca="1">'Financial model'!H36</f>
        <v>0.68872221564862279</v>
      </c>
      <c r="N24" s="462"/>
      <c r="O24" s="466">
        <f ca="1">INDIRECT($A24 &amp;"!"&amp;O$28)</f>
        <v>0.42645224757255579</v>
      </c>
      <c r="P24" s="466">
        <f ca="1">INDIRECT($A24 &amp;"!"&amp;P$28)</f>
        <v>0.11777889368638121</v>
      </c>
      <c r="Q24" s="466">
        <f ca="1">INDIRECT($A24 &amp;"!"&amp;Q$28)</f>
        <v>3.1483714823153638E-2</v>
      </c>
      <c r="R24" s="462"/>
      <c r="S24" s="464">
        <f ca="1">INDIRECT($A24 &amp;"!"&amp;S$28)</f>
        <v>2.1768159499554423</v>
      </c>
      <c r="T24" s="462"/>
      <c r="U24" s="467">
        <v>1.51</v>
      </c>
    </row>
    <row r="25" spans="1:25" s="11" customFormat="1" ht="13.2" x14ac:dyDescent="0.25">
      <c r="B25" s="11" t="s">
        <v>586</v>
      </c>
      <c r="C25" s="169"/>
      <c r="D25" s="169"/>
      <c r="E25" s="256">
        <v>1370000</v>
      </c>
      <c r="F25" s="256"/>
      <c r="G25" s="256">
        <v>1420000</v>
      </c>
      <c r="I25" s="688">
        <v>2.93</v>
      </c>
      <c r="J25" s="688">
        <v>28.05</v>
      </c>
      <c r="K25" s="688">
        <v>65.099999999999994</v>
      </c>
      <c r="L25" s="689"/>
      <c r="M25" s="692">
        <f>2.5/0.62-1</f>
        <v>3.032258064516129</v>
      </c>
      <c r="N25" s="689"/>
      <c r="O25" s="690">
        <f>197.48/485.9</f>
        <v>0.40642107429512248</v>
      </c>
      <c r="P25" s="690">
        <f>52.62/485.9</f>
        <v>0.10829388763119983</v>
      </c>
      <c r="Q25" s="690">
        <v>3.15E-2</v>
      </c>
      <c r="R25" s="689"/>
      <c r="S25" s="688">
        <f>157.56/52.62</f>
        <v>2.9942987457240595</v>
      </c>
      <c r="T25" s="689"/>
      <c r="U25" s="691">
        <v>1.25</v>
      </c>
    </row>
    <row r="26" spans="1:25" s="11" customFormat="1" ht="13.2" x14ac:dyDescent="0.25">
      <c r="B26" s="685" t="s">
        <v>400</v>
      </c>
      <c r="C26" s="685"/>
      <c r="D26" s="685"/>
      <c r="E26" s="685"/>
      <c r="F26" s="685"/>
      <c r="G26" s="685"/>
      <c r="H26" s="685"/>
      <c r="I26" s="685"/>
      <c r="J26" s="685"/>
      <c r="K26" s="685"/>
      <c r="L26" s="685"/>
      <c r="M26" s="685"/>
      <c r="N26" s="685"/>
      <c r="O26" s="685"/>
      <c r="P26" s="685"/>
      <c r="Q26" s="685"/>
      <c r="R26" s="685"/>
      <c r="S26" s="686"/>
      <c r="T26" s="685"/>
      <c r="U26" s="687"/>
    </row>
    <row r="27" spans="1:25" s="11" customFormat="1" ht="13.2" x14ac:dyDescent="0.25">
      <c r="S27" s="73"/>
      <c r="U27" s="188"/>
    </row>
    <row r="28" spans="1:25" s="11" customFormat="1" ht="13.2" outlineLevel="1" x14ac:dyDescent="0.25">
      <c r="A28" s="375"/>
      <c r="B28" s="376" t="s">
        <v>340</v>
      </c>
      <c r="C28" s="377" t="s">
        <v>341</v>
      </c>
      <c r="D28" s="377"/>
      <c r="E28" s="377" t="s">
        <v>342</v>
      </c>
      <c r="F28" s="377"/>
      <c r="G28" s="377" t="s">
        <v>343</v>
      </c>
      <c r="H28" s="377"/>
      <c r="I28" s="377" t="s">
        <v>344</v>
      </c>
      <c r="J28" s="377" t="s">
        <v>345</v>
      </c>
      <c r="K28" s="377" t="s">
        <v>346</v>
      </c>
      <c r="L28" s="377"/>
      <c r="M28" s="377"/>
      <c r="N28" s="377"/>
      <c r="O28" s="378" t="s">
        <v>347</v>
      </c>
      <c r="P28" s="378" t="s">
        <v>348</v>
      </c>
      <c r="Q28" s="378" t="s">
        <v>349</v>
      </c>
      <c r="R28" s="378"/>
      <c r="S28" s="377" t="s">
        <v>350</v>
      </c>
      <c r="T28" s="375"/>
      <c r="U28" s="188"/>
      <c r="V28" s="377"/>
      <c r="W28" s="375"/>
      <c r="X28" s="375"/>
      <c r="Y28" s="375"/>
    </row>
    <row r="29" spans="1:25" s="11" customFormat="1" thickBot="1" x14ac:dyDescent="0.3">
      <c r="U29" s="188"/>
    </row>
    <row r="30" spans="1:25" s="11" customFormat="1" ht="13.2" x14ac:dyDescent="0.25">
      <c r="I30" s="693" t="s">
        <v>587</v>
      </c>
      <c r="J30" s="694"/>
      <c r="K30" s="695"/>
      <c r="U30" s="188"/>
    </row>
    <row r="31" spans="1:25" s="11" customFormat="1" ht="13.2" x14ac:dyDescent="0.25">
      <c r="I31" s="696" t="s">
        <v>320</v>
      </c>
      <c r="J31" s="188" t="s">
        <v>85</v>
      </c>
      <c r="K31" s="697" t="s">
        <v>321</v>
      </c>
      <c r="U31" s="188"/>
    </row>
    <row r="32" spans="1:25" s="11" customFormat="1" thickBot="1" x14ac:dyDescent="0.3">
      <c r="I32" s="698" t="s">
        <v>588</v>
      </c>
      <c r="J32" s="699" t="s">
        <v>589</v>
      </c>
      <c r="K32" s="700" t="s">
        <v>590</v>
      </c>
      <c r="U32" s="188"/>
    </row>
  </sheetData>
  <sheetProtection algorithmName="SHA-512" hashValue="/7acB0YCpC1OK+DkxdkLxWZkn6azTU56GCVC127VVpd9jkx0ZuhqUemykM92V32/6yshUJP2d+MQ/MQz+ZVCYA==" saltValue="xoDrTewUxASDSxXIkjImAA==" spinCount="100000" sheet="1" objects="1" scenarios="1"/>
  <pageMargins left="0.7" right="0.7" top="0.75" bottom="0.75" header="0.3" footer="0.3"/>
  <pageSetup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4:Q55"/>
  <sheetViews>
    <sheetView showGridLines="0" topLeftCell="B1" zoomScaleNormal="100" workbookViewId="0">
      <selection activeCell="D5" sqref="D5"/>
    </sheetView>
  </sheetViews>
  <sheetFormatPr defaultColWidth="9.109375" defaultRowHeight="14.4" outlineLevelRow="1" x14ac:dyDescent="0.3"/>
  <cols>
    <col min="2" max="2" width="58.44140625" customWidth="1"/>
    <col min="4" max="4" width="11.6640625" bestFit="1" customWidth="1"/>
    <col min="10" max="10" width="12.77734375" bestFit="1" customWidth="1"/>
    <col min="12" max="12" width="12.77734375" bestFit="1" customWidth="1"/>
    <col min="15" max="15" width="18.6640625" customWidth="1"/>
    <col min="16" max="17" width="9.77734375" bestFit="1" customWidth="1"/>
  </cols>
  <sheetData>
    <row r="4" spans="1:17" x14ac:dyDescent="0.3">
      <c r="D4" t="s">
        <v>402</v>
      </c>
      <c r="O4" s="379" t="s">
        <v>401</v>
      </c>
      <c r="P4" s="379"/>
      <c r="Q4" s="379"/>
    </row>
    <row r="5" spans="1:17" x14ac:dyDescent="0.3">
      <c r="B5" s="114" t="s">
        <v>424</v>
      </c>
      <c r="D5" s="380">
        <f>AMZN!F21</f>
        <v>142.57</v>
      </c>
      <c r="P5" t="s">
        <v>403</v>
      </c>
      <c r="Q5" t="s">
        <v>404</v>
      </c>
    </row>
    <row r="6" spans="1:17" x14ac:dyDescent="0.3">
      <c r="A6" s="114"/>
      <c r="B6" s="381"/>
      <c r="O6" t="s">
        <v>405</v>
      </c>
      <c r="P6" s="268">
        <f>J16</f>
        <v>75405.283741318082</v>
      </c>
      <c r="Q6" s="268">
        <f>L16</f>
        <v>156297.87091189896</v>
      </c>
    </row>
    <row r="7" spans="1:17" ht="21" x14ac:dyDescent="0.4">
      <c r="B7" s="382" t="s">
        <v>406</v>
      </c>
      <c r="O7" t="s">
        <v>407</v>
      </c>
      <c r="P7" s="268">
        <f>J28</f>
        <v>102241.20529815106</v>
      </c>
      <c r="Q7" s="268">
        <f>L28</f>
        <v>154706.41922486987</v>
      </c>
    </row>
    <row r="8" spans="1:17" x14ac:dyDescent="0.3">
      <c r="B8" s="383" t="s">
        <v>408</v>
      </c>
      <c r="O8" s="269" t="s">
        <v>409</v>
      </c>
      <c r="P8" s="384">
        <f>J40</f>
        <v>116.79</v>
      </c>
      <c r="Q8" s="384">
        <f>L28</f>
        <v>154706.41922486987</v>
      </c>
    </row>
    <row r="9" spans="1:17" x14ac:dyDescent="0.3">
      <c r="B9" s="385"/>
      <c r="C9" s="1"/>
      <c r="D9" s="266" t="s">
        <v>353</v>
      </c>
      <c r="E9" s="1"/>
      <c r="F9" s="267" t="s">
        <v>410</v>
      </c>
      <c r="G9" s="267"/>
      <c r="H9" s="267"/>
      <c r="I9" s="1"/>
      <c r="J9" s="267" t="s">
        <v>410</v>
      </c>
      <c r="K9" s="386"/>
      <c r="L9" s="386"/>
      <c r="O9" s="114" t="s">
        <v>274</v>
      </c>
      <c r="P9" s="387">
        <f>MEDIAN(P6:P8)</f>
        <v>75405.283741318082</v>
      </c>
      <c r="Q9" s="387">
        <f>MEDIAN(Q6:Q8)</f>
        <v>154706.41922486987</v>
      </c>
    </row>
    <row r="10" spans="1:17" x14ac:dyDescent="0.3">
      <c r="B10" s="1"/>
      <c r="C10" s="1"/>
      <c r="D10" s="266" t="s">
        <v>411</v>
      </c>
      <c r="E10" s="266"/>
      <c r="F10" s="266" t="s">
        <v>403</v>
      </c>
      <c r="G10" s="266" t="s">
        <v>412</v>
      </c>
      <c r="H10" s="266" t="s">
        <v>404</v>
      </c>
      <c r="I10" s="1"/>
      <c r="J10" s="266" t="s">
        <v>403</v>
      </c>
      <c r="K10" s="266" t="s">
        <v>412</v>
      </c>
      <c r="L10" s="266" t="s">
        <v>404</v>
      </c>
    </row>
    <row r="11" spans="1:17" ht="20.100000000000001" customHeight="1" x14ac:dyDescent="0.3">
      <c r="A11" s="115"/>
      <c r="B11" s="388" t="s">
        <v>366</v>
      </c>
      <c r="C11" s="389"/>
      <c r="D11" s="390">
        <f>AMZN!M38</f>
        <v>57229</v>
      </c>
      <c r="E11" s="391"/>
      <c r="F11" s="392">
        <v>15.6</v>
      </c>
      <c r="G11" s="392" t="s">
        <v>412</v>
      </c>
      <c r="H11" s="392">
        <v>30</v>
      </c>
      <c r="I11" s="393"/>
      <c r="J11" s="394"/>
      <c r="K11" s="395" t="s">
        <v>412</v>
      </c>
      <c r="L11" s="394"/>
    </row>
    <row r="12" spans="1:17" ht="20.100000000000001" customHeight="1" x14ac:dyDescent="0.3">
      <c r="B12" s="306" t="s">
        <v>413</v>
      </c>
      <c r="C12" s="396"/>
      <c r="D12" s="396"/>
      <c r="E12" s="396"/>
      <c r="F12" s="397"/>
      <c r="G12" s="397"/>
      <c r="H12" s="397"/>
      <c r="I12" s="397"/>
      <c r="J12" s="398">
        <f>D11*F11</f>
        <v>892772.4</v>
      </c>
      <c r="K12" s="423" t="s">
        <v>412</v>
      </c>
      <c r="L12" s="398">
        <f>D11*H11</f>
        <v>1716870</v>
      </c>
    </row>
    <row r="13" spans="1:17" ht="20.100000000000001" customHeight="1" x14ac:dyDescent="0.3">
      <c r="B13" s="400" t="s">
        <v>414</v>
      </c>
      <c r="C13" s="307"/>
      <c r="D13" s="307"/>
      <c r="E13" s="307"/>
      <c r="F13" s="307"/>
      <c r="G13" s="307"/>
      <c r="H13" s="307"/>
      <c r="I13" s="307"/>
      <c r="J13" s="401">
        <f>-SUM(AMZN!F28:F29)</f>
        <v>-124577</v>
      </c>
      <c r="K13" s="402" t="s">
        <v>412</v>
      </c>
      <c r="L13" s="401">
        <f>J13</f>
        <v>-124577</v>
      </c>
    </row>
    <row r="14" spans="1:17" ht="20.100000000000001" customHeight="1" x14ac:dyDescent="0.3">
      <c r="B14" s="403" t="s">
        <v>415</v>
      </c>
      <c r="C14" s="307"/>
      <c r="D14" s="307"/>
      <c r="E14" s="307"/>
      <c r="F14" s="307"/>
      <c r="G14" s="307"/>
      <c r="H14" s="307"/>
      <c r="I14" s="307"/>
      <c r="J14" s="398">
        <f>J12+J13</f>
        <v>768195.4</v>
      </c>
      <c r="K14" s="424" t="s">
        <v>412</v>
      </c>
      <c r="L14" s="398">
        <f>L12+L13</f>
        <v>1592293</v>
      </c>
    </row>
    <row r="15" spans="1:17" ht="20.100000000000001" customHeight="1" x14ac:dyDescent="0.3">
      <c r="B15" s="307" t="s">
        <v>416</v>
      </c>
      <c r="C15" s="307"/>
      <c r="D15" s="307"/>
      <c r="E15" s="307"/>
      <c r="F15" s="307"/>
      <c r="G15" s="307"/>
      <c r="H15" s="307"/>
      <c r="I15" s="307"/>
      <c r="J15" s="701">
        <f>AMZN!F24</f>
        <v>10.187554</v>
      </c>
      <c r="K15" s="702" t="s">
        <v>412</v>
      </c>
      <c r="L15" s="701">
        <f>J15</f>
        <v>10.187554</v>
      </c>
      <c r="M15" t="s">
        <v>591</v>
      </c>
    </row>
    <row r="16" spans="1:17" ht="20.100000000000001" customHeight="1" x14ac:dyDescent="0.3">
      <c r="B16" s="306" t="s">
        <v>417</v>
      </c>
      <c r="C16" s="307"/>
      <c r="D16" s="307"/>
      <c r="E16" s="307"/>
      <c r="F16" s="307"/>
      <c r="G16" s="307"/>
      <c r="H16" s="307"/>
      <c r="I16" s="307"/>
      <c r="J16" s="733">
        <f>J14/J15</f>
        <v>75405.283741318082</v>
      </c>
      <c r="K16" s="734" t="s">
        <v>412</v>
      </c>
      <c r="L16" s="733">
        <f>L14/L15</f>
        <v>156297.87091189896</v>
      </c>
    </row>
    <row r="17" spans="1:16" ht="20.100000000000001" customHeight="1" thickBot="1" x14ac:dyDescent="0.35">
      <c r="B17" s="407" t="s">
        <v>418</v>
      </c>
      <c r="C17" s="408"/>
      <c r="D17" s="408"/>
      <c r="E17" s="408"/>
      <c r="F17" s="408"/>
      <c r="G17" s="408"/>
      <c r="H17" s="408"/>
      <c r="I17" s="408"/>
      <c r="J17" s="409">
        <f>J16/D5-1</f>
        <v>527.90007534066137</v>
      </c>
      <c r="K17" s="410"/>
      <c r="L17" s="409">
        <f>L16/D5-1</f>
        <v>1095.2886365427437</v>
      </c>
      <c r="P17" s="268"/>
    </row>
    <row r="18" spans="1:16" ht="15" thickTop="1" x14ac:dyDescent="0.3">
      <c r="B18" s="411"/>
      <c r="C18" s="411"/>
    </row>
    <row r="19" spans="1:16" ht="21" x14ac:dyDescent="0.4">
      <c r="B19" s="382" t="s">
        <v>419</v>
      </c>
      <c r="O19" s="114"/>
      <c r="P19" s="387"/>
    </row>
    <row r="20" spans="1:16" x14ac:dyDescent="0.3">
      <c r="B20" s="383" t="s">
        <v>408</v>
      </c>
      <c r="P20" s="268"/>
    </row>
    <row r="21" spans="1:16" x14ac:dyDescent="0.3">
      <c r="B21" s="385"/>
      <c r="C21" s="1"/>
      <c r="D21" s="500" t="s">
        <v>592</v>
      </c>
      <c r="E21" s="1"/>
      <c r="F21" s="267" t="s">
        <v>410</v>
      </c>
      <c r="G21" s="267"/>
      <c r="H21" s="267"/>
      <c r="I21" s="1"/>
      <c r="J21" s="267" t="s">
        <v>410</v>
      </c>
      <c r="K21" s="386"/>
      <c r="L21" s="386"/>
    </row>
    <row r="22" spans="1:16" x14ac:dyDescent="0.3">
      <c r="B22" s="1"/>
      <c r="C22" s="1"/>
      <c r="D22" s="266" t="s">
        <v>411</v>
      </c>
      <c r="E22" s="266"/>
      <c r="F22" s="266" t="s">
        <v>403</v>
      </c>
      <c r="G22" s="266" t="s">
        <v>412</v>
      </c>
      <c r="H22" s="266" t="s">
        <v>404</v>
      </c>
      <c r="I22" s="1"/>
      <c r="J22" s="266" t="s">
        <v>403</v>
      </c>
      <c r="K22" s="266" t="s">
        <v>412</v>
      </c>
      <c r="L22" s="266" t="s">
        <v>404</v>
      </c>
      <c r="P22" s="268"/>
    </row>
    <row r="23" spans="1:16" ht="20.100000000000001" customHeight="1" x14ac:dyDescent="0.3">
      <c r="A23" s="115"/>
      <c r="B23" s="388" t="s">
        <v>420</v>
      </c>
      <c r="C23" s="389"/>
      <c r="D23" s="390">
        <f>AMZN!M21</f>
        <v>485902</v>
      </c>
      <c r="E23" s="391"/>
      <c r="F23" s="392">
        <v>2.4</v>
      </c>
      <c r="G23" s="392" t="s">
        <v>412</v>
      </c>
      <c r="H23" s="392">
        <v>3.5</v>
      </c>
      <c r="I23" s="393"/>
      <c r="J23" s="412"/>
      <c r="K23" s="395" t="s">
        <v>412</v>
      </c>
      <c r="L23" s="412"/>
    </row>
    <row r="24" spans="1:16" ht="20.100000000000001" customHeight="1" x14ac:dyDescent="0.3">
      <c r="B24" s="306" t="s">
        <v>413</v>
      </c>
      <c r="C24" s="396"/>
      <c r="D24" s="413"/>
      <c r="E24" s="396"/>
      <c r="F24" s="414"/>
      <c r="G24" s="415"/>
      <c r="H24" s="414"/>
      <c r="I24" s="397"/>
      <c r="J24" s="416">
        <f>D23*F23</f>
        <v>1166164.8</v>
      </c>
      <c r="K24" s="423" t="s">
        <v>412</v>
      </c>
      <c r="L24" s="416">
        <f>D23*H23</f>
        <v>1700657</v>
      </c>
    </row>
    <row r="25" spans="1:16" ht="20.100000000000001" customHeight="1" x14ac:dyDescent="0.3">
      <c r="B25" s="400" t="s">
        <v>414</v>
      </c>
      <c r="C25" s="307"/>
      <c r="D25" s="307"/>
      <c r="E25" s="307"/>
      <c r="F25" s="307"/>
      <c r="G25" s="307"/>
      <c r="H25" s="307"/>
      <c r="I25" s="307"/>
      <c r="J25" s="401">
        <f>J13</f>
        <v>-124577</v>
      </c>
      <c r="K25" s="402" t="s">
        <v>412</v>
      </c>
      <c r="L25" s="401">
        <f>J25</f>
        <v>-124577</v>
      </c>
    </row>
    <row r="26" spans="1:16" ht="20.100000000000001" customHeight="1" x14ac:dyDescent="0.3">
      <c r="B26" s="403" t="s">
        <v>415</v>
      </c>
      <c r="C26" s="307"/>
      <c r="D26" s="307"/>
      <c r="E26" s="307"/>
      <c r="F26" s="307"/>
      <c r="G26" s="307"/>
      <c r="H26" s="307"/>
      <c r="I26" s="307"/>
      <c r="J26" s="416">
        <f>J24+J25</f>
        <v>1041587.8</v>
      </c>
      <c r="K26" s="424" t="s">
        <v>412</v>
      </c>
      <c r="L26" s="416">
        <f>L24+L25</f>
        <v>1576080</v>
      </c>
    </row>
    <row r="27" spans="1:16" ht="20.100000000000001" customHeight="1" x14ac:dyDescent="0.3">
      <c r="B27" s="307" t="s">
        <v>416</v>
      </c>
      <c r="C27" s="307"/>
      <c r="D27" s="307"/>
      <c r="E27" s="307"/>
      <c r="F27" s="307"/>
      <c r="G27" s="307"/>
      <c r="H27" s="307"/>
      <c r="I27" s="307"/>
      <c r="J27" s="417">
        <f>J15</f>
        <v>10.187554</v>
      </c>
      <c r="K27" s="395" t="s">
        <v>412</v>
      </c>
      <c r="L27" s="417">
        <f>J27</f>
        <v>10.187554</v>
      </c>
    </row>
    <row r="28" spans="1:16" ht="20.100000000000001" customHeight="1" x14ac:dyDescent="0.3">
      <c r="B28" s="306" t="s">
        <v>417</v>
      </c>
      <c r="C28" s="307"/>
      <c r="D28" s="307"/>
      <c r="E28" s="307"/>
      <c r="F28" s="307"/>
      <c r="G28" s="307"/>
      <c r="H28" s="307"/>
      <c r="I28" s="307"/>
      <c r="J28" s="735">
        <f>J26/J27</f>
        <v>102241.20529815106</v>
      </c>
      <c r="K28" s="736" t="s">
        <v>593</v>
      </c>
      <c r="L28" s="735">
        <f>L26/L27</f>
        <v>154706.41922486987</v>
      </c>
    </row>
    <row r="29" spans="1:16" ht="20.100000000000001" customHeight="1" thickBot="1" x14ac:dyDescent="0.35">
      <c r="B29" s="407" t="s">
        <v>418</v>
      </c>
      <c r="C29" s="408"/>
      <c r="D29" s="408"/>
      <c r="E29" s="408"/>
      <c r="F29" s="408"/>
      <c r="G29" s="408"/>
      <c r="H29" s="408"/>
      <c r="I29" s="408"/>
      <c r="J29" s="703">
        <f>J28/D5-1</f>
        <v>716.12986812198267</v>
      </c>
      <c r="K29" s="704"/>
      <c r="L29" s="703">
        <f>L28/D5-1</f>
        <v>1084.1260379102889</v>
      </c>
    </row>
    <row r="30" spans="1:16" ht="15" thickTop="1" x14ac:dyDescent="0.3">
      <c r="B30" s="411"/>
      <c r="C30" s="411"/>
    </row>
    <row r="31" spans="1:16" ht="21" x14ac:dyDescent="0.4">
      <c r="B31" s="382" t="s">
        <v>421</v>
      </c>
    </row>
    <row r="32" spans="1:16" x14ac:dyDescent="0.3">
      <c r="B32" s="383" t="s">
        <v>408</v>
      </c>
    </row>
    <row r="33" spans="2:12" x14ac:dyDescent="0.3">
      <c r="B33" s="385"/>
      <c r="C33" s="1"/>
      <c r="D33" s="1"/>
      <c r="E33" s="1"/>
      <c r="F33" s="267" t="s">
        <v>410</v>
      </c>
      <c r="G33" s="267"/>
      <c r="H33" s="267"/>
      <c r="I33" s="1"/>
      <c r="J33" s="267" t="s">
        <v>410</v>
      </c>
      <c r="K33" s="386"/>
      <c r="L33" s="386"/>
    </row>
    <row r="34" spans="2:12" x14ac:dyDescent="0.3">
      <c r="B34" s="1"/>
      <c r="C34" s="1"/>
      <c r="D34" s="266" t="s">
        <v>411</v>
      </c>
      <c r="E34" s="266"/>
      <c r="F34" s="266" t="s">
        <v>403</v>
      </c>
      <c r="G34" s="266" t="s">
        <v>412</v>
      </c>
      <c r="H34" s="266" t="s">
        <v>404</v>
      </c>
      <c r="I34" s="1"/>
      <c r="J34" s="266" t="s">
        <v>403</v>
      </c>
      <c r="K34" s="266" t="s">
        <v>412</v>
      </c>
      <c r="L34" s="266" t="s">
        <v>404</v>
      </c>
    </row>
    <row r="35" spans="2:12" ht="20.100000000000001" customHeight="1" x14ac:dyDescent="0.3">
      <c r="B35" s="388" t="s">
        <v>422</v>
      </c>
      <c r="C35" s="389"/>
      <c r="D35" s="419">
        <f>AMZN!M43</f>
        <v>2.29</v>
      </c>
      <c r="E35" s="391"/>
      <c r="F35" s="392">
        <v>51</v>
      </c>
      <c r="G35" s="392" t="s">
        <v>412</v>
      </c>
      <c r="H35" s="392">
        <v>68</v>
      </c>
      <c r="I35" s="393"/>
      <c r="J35" s="420"/>
      <c r="K35" s="395"/>
      <c r="L35" s="420"/>
    </row>
    <row r="36" spans="2:12" ht="20.100000000000001" customHeight="1" x14ac:dyDescent="0.3">
      <c r="B36" s="306" t="s">
        <v>413</v>
      </c>
      <c r="C36" s="396"/>
      <c r="D36" s="396"/>
      <c r="E36" s="396"/>
      <c r="F36" s="421"/>
      <c r="G36" s="397"/>
      <c r="H36" s="421"/>
      <c r="I36" s="397"/>
      <c r="J36" s="398">
        <f>J38-J37</f>
        <v>125766.80443166</v>
      </c>
      <c r="K36" s="399"/>
      <c r="L36" s="398">
        <f>L38-L37</f>
        <v>126163.40590888</v>
      </c>
    </row>
    <row r="37" spans="2:12" ht="20.100000000000001" customHeight="1" x14ac:dyDescent="0.3">
      <c r="B37" s="400" t="s">
        <v>414</v>
      </c>
      <c r="C37" s="307"/>
      <c r="D37" s="307"/>
      <c r="E37" s="307"/>
      <c r="F37" s="307"/>
      <c r="G37" s="307"/>
      <c r="H37" s="307"/>
      <c r="I37" s="307"/>
      <c r="J37" s="401">
        <f>J25</f>
        <v>-124577</v>
      </c>
      <c r="K37" s="395"/>
      <c r="L37" s="401">
        <f>L25</f>
        <v>-124577</v>
      </c>
    </row>
    <row r="38" spans="2:12" ht="20.100000000000001" customHeight="1" x14ac:dyDescent="0.3">
      <c r="B38" s="403" t="s">
        <v>415</v>
      </c>
      <c r="C38" s="307"/>
      <c r="D38" s="307"/>
      <c r="E38" s="307"/>
      <c r="F38" s="307"/>
      <c r="G38" s="307"/>
      <c r="H38" s="307"/>
      <c r="I38" s="307"/>
      <c r="J38" s="398">
        <f>J39*J40</f>
        <v>1189.8044316600001</v>
      </c>
      <c r="K38" s="404"/>
      <c r="L38" s="398">
        <f>L39*L40</f>
        <v>1586.40590888</v>
      </c>
    </row>
    <row r="39" spans="2:12" ht="20.100000000000001" customHeight="1" x14ac:dyDescent="0.3">
      <c r="B39" s="307" t="s">
        <v>416</v>
      </c>
      <c r="C39" s="307"/>
      <c r="D39" s="307"/>
      <c r="E39" s="307"/>
      <c r="F39" s="307"/>
      <c r="G39" s="307"/>
      <c r="H39" s="307"/>
      <c r="I39" s="307"/>
      <c r="J39" s="405">
        <f>J27</f>
        <v>10.187554</v>
      </c>
      <c r="K39" s="395"/>
      <c r="L39" s="405">
        <f>L27</f>
        <v>10.187554</v>
      </c>
    </row>
    <row r="40" spans="2:12" ht="20.100000000000001" customHeight="1" x14ac:dyDescent="0.3">
      <c r="B40" s="306" t="s">
        <v>417</v>
      </c>
      <c r="C40" s="307"/>
      <c r="D40" s="307"/>
      <c r="E40" s="307"/>
      <c r="F40" s="307"/>
      <c r="G40" s="307"/>
      <c r="H40" s="307"/>
      <c r="I40" s="307"/>
      <c r="J40" s="418">
        <f>D35*F35</f>
        <v>116.79</v>
      </c>
      <c r="K40" s="736"/>
      <c r="L40" s="418">
        <f>D35*H35</f>
        <v>155.72</v>
      </c>
    </row>
    <row r="41" spans="2:12" ht="20.100000000000001" customHeight="1" thickBot="1" x14ac:dyDescent="0.35">
      <c r="B41" s="407" t="s">
        <v>418</v>
      </c>
      <c r="C41" s="408"/>
      <c r="D41" s="408"/>
      <c r="E41" s="408"/>
      <c r="F41" s="408"/>
      <c r="G41" s="408"/>
      <c r="H41" s="408"/>
      <c r="I41" s="408"/>
      <c r="J41" s="703">
        <f>J40/D5-1</f>
        <v>-0.18082345514484099</v>
      </c>
      <c r="K41" s="704"/>
      <c r="L41" s="703">
        <f>L40/D5-1</f>
        <v>9.2235393140211785E-2</v>
      </c>
    </row>
    <row r="42" spans="2:12" ht="15" thickTop="1" x14ac:dyDescent="0.3"/>
    <row r="44" spans="2:12" ht="21" hidden="1" outlineLevel="1" x14ac:dyDescent="0.4">
      <c r="B44" s="382" t="s">
        <v>423</v>
      </c>
    </row>
    <row r="45" spans="2:12" hidden="1" outlineLevel="1" x14ac:dyDescent="0.3">
      <c r="B45" s="383" t="s">
        <v>408</v>
      </c>
    </row>
    <row r="46" spans="2:12" hidden="1" outlineLevel="1" x14ac:dyDescent="0.3">
      <c r="B46" s="385"/>
      <c r="C46" s="1"/>
      <c r="D46" s="1"/>
      <c r="E46" s="1"/>
      <c r="F46" s="267" t="s">
        <v>410</v>
      </c>
      <c r="G46" s="267"/>
      <c r="H46" s="267"/>
      <c r="I46" s="1"/>
      <c r="J46" s="267" t="s">
        <v>410</v>
      </c>
      <c r="K46" s="386"/>
      <c r="L46" s="386"/>
    </row>
    <row r="47" spans="2:12" hidden="1" outlineLevel="1" x14ac:dyDescent="0.3">
      <c r="B47" s="1"/>
      <c r="C47" s="1"/>
      <c r="D47" s="266" t="s">
        <v>411</v>
      </c>
      <c r="E47" s="266"/>
      <c r="F47" s="266" t="s">
        <v>403</v>
      </c>
      <c r="G47" s="266" t="s">
        <v>412</v>
      </c>
      <c r="H47" s="266" t="s">
        <v>404</v>
      </c>
      <c r="I47" s="1"/>
      <c r="J47" s="266" t="s">
        <v>403</v>
      </c>
      <c r="K47" s="266" t="s">
        <v>412</v>
      </c>
      <c r="L47" s="266" t="s">
        <v>404</v>
      </c>
    </row>
    <row r="48" spans="2:12" ht="20.100000000000001" hidden="1" customHeight="1" outlineLevel="1" x14ac:dyDescent="0.3">
      <c r="B48" s="388" t="s">
        <v>366</v>
      </c>
      <c r="C48" s="389"/>
      <c r="D48" s="390"/>
      <c r="E48" s="391"/>
      <c r="F48" s="392"/>
      <c r="G48" s="392" t="s">
        <v>412</v>
      </c>
      <c r="H48" s="392"/>
      <c r="I48" s="393"/>
      <c r="J48" s="394"/>
      <c r="K48" s="395" t="s">
        <v>412</v>
      </c>
      <c r="L48" s="394"/>
    </row>
    <row r="49" spans="2:12" ht="20.100000000000001" hidden="1" customHeight="1" outlineLevel="1" x14ac:dyDescent="0.3">
      <c r="B49" s="306" t="s">
        <v>413</v>
      </c>
      <c r="C49" s="396"/>
      <c r="D49" s="396"/>
      <c r="E49" s="396"/>
      <c r="F49" s="397"/>
      <c r="G49" s="397"/>
      <c r="H49" s="397"/>
      <c r="I49" s="397"/>
      <c r="J49" s="398"/>
      <c r="K49" s="423" t="s">
        <v>412</v>
      </c>
      <c r="L49" s="398"/>
    </row>
    <row r="50" spans="2:12" ht="20.100000000000001" hidden="1" customHeight="1" outlineLevel="1" x14ac:dyDescent="0.3">
      <c r="B50" s="400" t="s">
        <v>414</v>
      </c>
      <c r="C50" s="307"/>
      <c r="D50" s="307"/>
      <c r="E50" s="307"/>
      <c r="F50" s="307"/>
      <c r="G50" s="307"/>
      <c r="H50" s="307"/>
      <c r="I50" s="307"/>
      <c r="J50" s="401"/>
      <c r="K50" s="402" t="s">
        <v>412</v>
      </c>
      <c r="L50" s="401"/>
    </row>
    <row r="51" spans="2:12" ht="20.100000000000001" hidden="1" customHeight="1" outlineLevel="1" x14ac:dyDescent="0.3">
      <c r="B51" s="403" t="s">
        <v>415</v>
      </c>
      <c r="C51" s="307"/>
      <c r="D51" s="307"/>
      <c r="E51" s="307"/>
      <c r="F51" s="307"/>
      <c r="G51" s="307"/>
      <c r="H51" s="307"/>
      <c r="I51" s="307"/>
      <c r="J51" s="398"/>
      <c r="K51" s="424" t="s">
        <v>412</v>
      </c>
      <c r="L51" s="398"/>
    </row>
    <row r="52" spans="2:12" ht="20.100000000000001" hidden="1" customHeight="1" outlineLevel="1" x14ac:dyDescent="0.3">
      <c r="B52" s="307" t="s">
        <v>416</v>
      </c>
      <c r="C52" s="307"/>
      <c r="D52" s="307"/>
      <c r="E52" s="307"/>
      <c r="F52" s="307"/>
      <c r="G52" s="307"/>
      <c r="H52" s="307"/>
      <c r="I52" s="307"/>
      <c r="J52" s="405"/>
      <c r="K52" s="424" t="s">
        <v>412</v>
      </c>
      <c r="L52" s="405"/>
    </row>
    <row r="53" spans="2:12" ht="20.100000000000001" hidden="1" customHeight="1" outlineLevel="1" x14ac:dyDescent="0.3">
      <c r="B53" s="306" t="s">
        <v>417</v>
      </c>
      <c r="C53" s="307"/>
      <c r="D53" s="307"/>
      <c r="E53" s="307"/>
      <c r="F53" s="307"/>
      <c r="G53" s="307"/>
      <c r="H53" s="307"/>
      <c r="I53" s="307"/>
      <c r="J53" s="406"/>
      <c r="K53" s="425" t="s">
        <v>412</v>
      </c>
      <c r="L53" s="406"/>
    </row>
    <row r="54" spans="2:12" ht="20.100000000000001" hidden="1" customHeight="1" outlineLevel="1" thickBot="1" x14ac:dyDescent="0.35">
      <c r="B54" s="407" t="s">
        <v>418</v>
      </c>
      <c r="C54" s="408"/>
      <c r="D54" s="408"/>
      <c r="E54" s="408"/>
      <c r="F54" s="408"/>
      <c r="G54" s="408"/>
      <c r="H54" s="408"/>
      <c r="I54" s="408"/>
      <c r="J54" s="422"/>
      <c r="K54" s="410"/>
      <c r="L54" s="422"/>
    </row>
    <row r="55" spans="2:12" collapsed="1" x14ac:dyDescent="0.3"/>
  </sheetData>
  <sheetProtection algorithmName="SHA-512" hashValue="7rBK/szoSe1Q+AAK8sf50PtWJNXs5MyJFiUtxkQHcHpSTSX6E+p+Q86+93vYhD0DIGjBSQ8eA9lI1hTvIokvFw==" saltValue="rMShOV7QKtkfgr/HOSyreA==" spinCount="100000" sheet="1" objects="1" scenarios="1"/>
  <conditionalFormatting sqref="C11:E12 J13:L13 J15 L15 C23:E24 J25:L25 J27 L27 C35:E36 J37 L37 J39 L39">
    <cfRule type="cellIs" dxfId="1" priority="2" operator="equal">
      <formula>"N"</formula>
    </cfRule>
  </conditionalFormatting>
  <conditionalFormatting sqref="C48:E49 J50:L50 J52 L52">
    <cfRule type="cellIs" dxfId="0" priority="1" operator="equal">
      <formula>"N"</formula>
    </cfRule>
  </conditionalFormatting>
  <pageMargins left="0.7" right="0.7" top="0.75" bottom="0.75" header="0.3" footer="0.3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5:H44"/>
  <sheetViews>
    <sheetView showGridLines="0" view="pageBreakPreview" zoomScale="115" zoomScaleNormal="145" zoomScaleSheetLayoutView="115" workbookViewId="0">
      <selection activeCell="D5" sqref="D5"/>
    </sheetView>
  </sheetViews>
  <sheetFormatPr defaultRowHeight="14.4" x14ac:dyDescent="0.3"/>
  <cols>
    <col min="1" max="1" width="2.6640625" customWidth="1"/>
    <col min="2" max="2" width="3.6640625" customWidth="1"/>
    <col min="3" max="3" width="16.6640625" customWidth="1"/>
    <col min="5" max="5" width="38.33203125" bestFit="1" customWidth="1"/>
    <col min="6" max="6" width="36.88671875" bestFit="1" customWidth="1"/>
    <col min="7" max="7" width="21.33203125" bestFit="1" customWidth="1"/>
    <col min="8" max="8" width="1.33203125" customWidth="1"/>
  </cols>
  <sheetData>
    <row r="5" spans="3:8" ht="19.2" x14ac:dyDescent="0.35">
      <c r="C5" s="470" t="s">
        <v>476</v>
      </c>
      <c r="D5" s="471"/>
      <c r="E5" s="471"/>
      <c r="F5" s="471"/>
      <c r="G5" s="472"/>
    </row>
    <row r="6" spans="3:8" ht="15.6" x14ac:dyDescent="0.3">
      <c r="C6" s="473" t="s">
        <v>428</v>
      </c>
      <c r="D6" s="474"/>
      <c r="E6" s="474"/>
      <c r="F6" s="474"/>
      <c r="G6" s="475" t="s">
        <v>429</v>
      </c>
    </row>
    <row r="7" spans="3:8" ht="15.6" x14ac:dyDescent="0.3">
      <c r="C7" s="476" t="s">
        <v>430</v>
      </c>
      <c r="D7" s="474" t="s">
        <v>140</v>
      </c>
      <c r="E7" s="476" t="s">
        <v>433</v>
      </c>
      <c r="F7" s="476" t="s">
        <v>431</v>
      </c>
      <c r="G7" s="475" t="s">
        <v>366</v>
      </c>
    </row>
    <row r="8" spans="3:8" ht="15.6" x14ac:dyDescent="0.3">
      <c r="C8" s="492" t="s">
        <v>448</v>
      </c>
      <c r="D8" s="477"/>
      <c r="E8" s="477"/>
      <c r="F8" s="477"/>
      <c r="G8" s="478"/>
    </row>
    <row r="9" spans="3:8" ht="15.6" x14ac:dyDescent="0.3">
      <c r="C9" s="489">
        <v>43003</v>
      </c>
      <c r="D9" s="477"/>
      <c r="E9" s="488" t="s">
        <v>434</v>
      </c>
      <c r="F9" s="488" t="s">
        <v>441</v>
      </c>
      <c r="G9" s="479">
        <v>14.7</v>
      </c>
      <c r="H9" s="479"/>
    </row>
    <row r="10" spans="3:8" ht="15.6" x14ac:dyDescent="0.3">
      <c r="C10" s="489">
        <v>42937</v>
      </c>
      <c r="D10" s="477"/>
      <c r="E10" s="488" t="s">
        <v>435</v>
      </c>
      <c r="F10" s="488" t="s">
        <v>442</v>
      </c>
      <c r="G10" s="479">
        <v>13</v>
      </c>
      <c r="H10" s="479"/>
    </row>
    <row r="11" spans="3:8" ht="15.6" x14ac:dyDescent="0.3">
      <c r="C11" s="489">
        <v>42920</v>
      </c>
      <c r="D11" s="477"/>
      <c r="E11" s="488" t="s">
        <v>436</v>
      </c>
      <c r="F11" s="488" t="s">
        <v>443</v>
      </c>
      <c r="G11" s="479">
        <v>19.100000000000001</v>
      </c>
      <c r="H11" s="479"/>
    </row>
    <row r="12" spans="3:8" ht="15.6" x14ac:dyDescent="0.3">
      <c r="C12" s="489">
        <v>42395</v>
      </c>
      <c r="D12" s="477"/>
      <c r="E12" s="488" t="s">
        <v>437</v>
      </c>
      <c r="F12" s="488" t="s">
        <v>444</v>
      </c>
      <c r="G12" s="479">
        <v>16.399999999999999</v>
      </c>
      <c r="H12" s="479"/>
    </row>
    <row r="13" spans="3:8" ht="15.6" x14ac:dyDescent="0.3">
      <c r="C13" s="489">
        <v>42353</v>
      </c>
      <c r="D13" s="477"/>
      <c r="E13" s="488" t="s">
        <v>438</v>
      </c>
      <c r="F13" s="488" t="s">
        <v>445</v>
      </c>
      <c r="G13" s="479">
        <v>20.9</v>
      </c>
      <c r="H13" s="479"/>
    </row>
    <row r="14" spans="3:8" ht="15.6" x14ac:dyDescent="0.3">
      <c r="C14" s="489">
        <v>41925</v>
      </c>
      <c r="D14" s="477"/>
      <c r="E14" s="488" t="s">
        <v>439</v>
      </c>
      <c r="F14" s="488" t="s">
        <v>444</v>
      </c>
      <c r="G14" s="479">
        <v>12.6</v>
      </c>
      <c r="H14" s="479"/>
    </row>
    <row r="15" spans="3:8" ht="15.6" x14ac:dyDescent="0.3">
      <c r="C15" s="489">
        <v>41771</v>
      </c>
      <c r="D15" s="477"/>
      <c r="E15" s="488" t="s">
        <v>436</v>
      </c>
      <c r="F15" s="488" t="s">
        <v>446</v>
      </c>
      <c r="G15" s="479">
        <v>18.100000000000001</v>
      </c>
      <c r="H15" s="479"/>
    </row>
    <row r="16" spans="3:8" ht="15.6" x14ac:dyDescent="0.3">
      <c r="C16" s="489">
        <v>39174</v>
      </c>
      <c r="D16" s="477"/>
      <c r="E16" s="488" t="s">
        <v>440</v>
      </c>
      <c r="F16" s="488" t="s">
        <v>447</v>
      </c>
      <c r="G16" s="479">
        <v>14.2</v>
      </c>
      <c r="H16" s="479"/>
    </row>
    <row r="17" spans="3:8" ht="15.6" x14ac:dyDescent="0.3">
      <c r="C17" s="489"/>
      <c r="D17" s="477"/>
      <c r="E17" s="488"/>
      <c r="F17" s="498"/>
      <c r="G17" s="479"/>
      <c r="H17" s="479"/>
    </row>
    <row r="18" spans="3:8" ht="15.6" x14ac:dyDescent="0.3">
      <c r="C18" s="489"/>
      <c r="D18" s="477"/>
      <c r="E18" s="488"/>
      <c r="F18" s="490" t="s">
        <v>338</v>
      </c>
      <c r="G18" s="491">
        <f>AVERAGE(G9:G16)</f>
        <v>16.124999999999996</v>
      </c>
      <c r="H18" s="479"/>
    </row>
    <row r="19" spans="3:8" ht="15.6" x14ac:dyDescent="0.3">
      <c r="C19" s="489"/>
      <c r="D19" s="477"/>
      <c r="E19" s="488"/>
      <c r="F19" s="490" t="s">
        <v>274</v>
      </c>
      <c r="G19" s="491">
        <f>MEDIAN(G9:G16)</f>
        <v>15.549999999999999</v>
      </c>
      <c r="H19" s="479"/>
    </row>
    <row r="20" spans="3:8" ht="15.6" x14ac:dyDescent="0.3">
      <c r="C20" s="489"/>
      <c r="D20" s="477"/>
      <c r="E20" s="488"/>
      <c r="F20" s="493"/>
      <c r="G20" s="494"/>
      <c r="H20" s="479"/>
    </row>
    <row r="21" spans="3:8" ht="15.6" x14ac:dyDescent="0.3">
      <c r="C21" s="495" t="s">
        <v>449</v>
      </c>
      <c r="D21" s="496"/>
      <c r="E21" s="488"/>
      <c r="F21" s="497"/>
      <c r="G21" s="479"/>
    </row>
    <row r="22" spans="3:8" ht="15.6" x14ac:dyDescent="0.3">
      <c r="C22" s="489">
        <v>42835</v>
      </c>
      <c r="D22" s="480"/>
      <c r="E22" s="481" t="s">
        <v>453</v>
      </c>
      <c r="F22" s="481" t="s">
        <v>465</v>
      </c>
      <c r="G22" s="479">
        <v>10</v>
      </c>
    </row>
    <row r="23" spans="3:8" ht="15.6" x14ac:dyDescent="0.3">
      <c r="C23" s="489">
        <v>42660</v>
      </c>
      <c r="D23" s="480"/>
      <c r="E23" s="481" t="s">
        <v>454</v>
      </c>
      <c r="F23" s="481" t="s">
        <v>466</v>
      </c>
      <c r="G23" s="479">
        <v>6.4</v>
      </c>
    </row>
    <row r="24" spans="3:8" ht="15.6" x14ac:dyDescent="0.3">
      <c r="C24" s="489">
        <v>42443</v>
      </c>
      <c r="D24" s="480"/>
      <c r="E24" s="481" t="s">
        <v>455</v>
      </c>
      <c r="F24" s="481" t="s">
        <v>432</v>
      </c>
      <c r="G24" s="479">
        <v>7.1</v>
      </c>
    </row>
    <row r="25" spans="3:8" ht="15.6" x14ac:dyDescent="0.3">
      <c r="C25" s="489">
        <v>42319</v>
      </c>
      <c r="D25" s="480"/>
      <c r="E25" s="481" t="s">
        <v>456</v>
      </c>
      <c r="F25" s="481" t="s">
        <v>467</v>
      </c>
      <c r="G25" s="479">
        <v>7.1</v>
      </c>
    </row>
    <row r="26" spans="3:8" ht="15.6" x14ac:dyDescent="0.3">
      <c r="C26" s="489">
        <v>42179</v>
      </c>
      <c r="D26" s="480"/>
      <c r="E26" s="481" t="s">
        <v>457</v>
      </c>
      <c r="F26" s="481" t="s">
        <v>468</v>
      </c>
      <c r="G26" s="479">
        <v>8.1</v>
      </c>
    </row>
    <row r="27" spans="3:8" ht="15.6" x14ac:dyDescent="0.3">
      <c r="C27" s="489">
        <v>41704</v>
      </c>
      <c r="D27" s="480"/>
      <c r="E27" s="481" t="s">
        <v>458</v>
      </c>
      <c r="F27" s="481" t="s">
        <v>469</v>
      </c>
      <c r="G27" s="479">
        <v>5</v>
      </c>
    </row>
    <row r="28" spans="3:8" ht="15.6" x14ac:dyDescent="0.3">
      <c r="C28" s="489">
        <v>41628</v>
      </c>
      <c r="D28" s="480"/>
      <c r="E28" s="481" t="s">
        <v>459</v>
      </c>
      <c r="F28" s="481" t="s">
        <v>470</v>
      </c>
      <c r="G28" s="479">
        <v>10</v>
      </c>
    </row>
    <row r="29" spans="3:8" ht="15.6" x14ac:dyDescent="0.3">
      <c r="C29" s="489">
        <v>41477</v>
      </c>
      <c r="D29" s="480"/>
      <c r="E29" s="481" t="s">
        <v>460</v>
      </c>
      <c r="F29" s="481" t="s">
        <v>471</v>
      </c>
      <c r="G29" s="479">
        <v>6.7</v>
      </c>
    </row>
    <row r="30" spans="3:8" ht="15.6" x14ac:dyDescent="0.3">
      <c r="C30" s="489">
        <v>41464</v>
      </c>
      <c r="D30" s="480"/>
      <c r="E30" s="481" t="s">
        <v>461</v>
      </c>
      <c r="F30" s="481" t="s">
        <v>467</v>
      </c>
      <c r="G30" s="479">
        <v>7.3</v>
      </c>
    </row>
    <row r="31" spans="3:8" ht="15.6" x14ac:dyDescent="0.3">
      <c r="C31" s="489">
        <v>41284</v>
      </c>
      <c r="D31" s="480"/>
      <c r="E31" s="481" t="s">
        <v>462</v>
      </c>
      <c r="F31" s="481" t="s">
        <v>472</v>
      </c>
      <c r="G31" s="479">
        <v>4</v>
      </c>
    </row>
    <row r="32" spans="3:8" ht="15.6" x14ac:dyDescent="0.3">
      <c r="C32" s="489">
        <v>41193</v>
      </c>
      <c r="D32" s="480"/>
      <c r="E32" s="481" t="s">
        <v>463</v>
      </c>
      <c r="F32" s="481" t="s">
        <v>473</v>
      </c>
      <c r="G32" s="479">
        <v>7.5</v>
      </c>
    </row>
    <row r="33" spans="3:7" ht="15.6" x14ac:dyDescent="0.3">
      <c r="C33" s="489">
        <v>40896</v>
      </c>
      <c r="D33" s="480"/>
      <c r="E33" s="481" t="s">
        <v>464</v>
      </c>
      <c r="F33" s="481" t="s">
        <v>474</v>
      </c>
      <c r="G33" s="479">
        <v>5.4</v>
      </c>
    </row>
    <row r="34" spans="3:7" ht="15.6" x14ac:dyDescent="0.3">
      <c r="C34" s="487"/>
      <c r="D34" s="477"/>
      <c r="E34" s="488"/>
      <c r="F34" s="498"/>
      <c r="G34" s="479"/>
    </row>
    <row r="35" spans="3:7" ht="15.6" x14ac:dyDescent="0.3">
      <c r="C35" s="477"/>
      <c r="D35" s="477"/>
      <c r="E35" s="477"/>
      <c r="F35" s="490" t="s">
        <v>338</v>
      </c>
      <c r="G35" s="491">
        <f>AVERAGE(G22:G33)</f>
        <v>7.0500000000000007</v>
      </c>
    </row>
    <row r="36" spans="3:7" ht="15.6" x14ac:dyDescent="0.3">
      <c r="C36" s="477"/>
      <c r="D36" s="477"/>
      <c r="E36" s="477"/>
      <c r="F36" s="490" t="s">
        <v>274</v>
      </c>
      <c r="G36" s="491">
        <f>MEDIAN(G22:G33)</f>
        <v>7.1</v>
      </c>
    </row>
    <row r="37" spans="3:7" ht="16.2" thickBot="1" x14ac:dyDescent="0.35">
      <c r="C37" s="482"/>
      <c r="D37" s="482"/>
      <c r="E37" s="482"/>
      <c r="F37" s="482"/>
      <c r="G37" s="483"/>
    </row>
    <row r="38" spans="3:7" ht="15.6" x14ac:dyDescent="0.3">
      <c r="C38" s="477"/>
      <c r="D38" s="477"/>
      <c r="E38" s="477"/>
      <c r="F38" s="477"/>
      <c r="G38" s="484"/>
    </row>
    <row r="39" spans="3:7" ht="15.6" x14ac:dyDescent="0.3">
      <c r="C39" s="477"/>
      <c r="D39" s="477"/>
      <c r="E39" s="477"/>
      <c r="F39" s="477"/>
      <c r="G39" s="484"/>
    </row>
    <row r="40" spans="3:7" ht="15.6" x14ac:dyDescent="0.3">
      <c r="C40" s="485" t="s">
        <v>452</v>
      </c>
      <c r="D40" s="477"/>
      <c r="E40" s="477"/>
      <c r="F40" s="477"/>
      <c r="G40" s="484"/>
    </row>
    <row r="41" spans="3:7" ht="15.6" x14ac:dyDescent="0.3">
      <c r="C41" s="486" t="s">
        <v>475</v>
      </c>
      <c r="D41" s="477"/>
      <c r="E41" s="477"/>
      <c r="F41" s="477"/>
      <c r="G41" s="484"/>
    </row>
    <row r="42" spans="3:7" ht="15.6" x14ac:dyDescent="0.3">
      <c r="C42" s="477"/>
      <c r="D42" s="477"/>
      <c r="E42" s="477"/>
      <c r="F42" s="477"/>
      <c r="G42" s="484"/>
    </row>
    <row r="43" spans="3:7" ht="15.6" x14ac:dyDescent="0.3">
      <c r="C43" s="485" t="s">
        <v>451</v>
      </c>
      <c r="D43" s="486"/>
      <c r="E43" s="477"/>
      <c r="F43" s="477"/>
      <c r="G43" s="484"/>
    </row>
    <row r="44" spans="3:7" ht="15.6" x14ac:dyDescent="0.3">
      <c r="C44" s="486" t="s">
        <v>450</v>
      </c>
      <c r="D44" s="477"/>
      <c r="E44" s="477"/>
      <c r="F44" s="477"/>
      <c r="G44" s="484"/>
    </row>
  </sheetData>
  <sheetProtection algorithmName="SHA-512" hashValue="4a7wxNx78xL4vIrU/JJVcF7E9srMmmpmMdn+Fed3qjqWDqZfZy4lR3+A1ITNjLZPJ1le6qXdeJ/NHfsDT6ZsOw==" saltValue="WEgzfyeA2M2ZGqKWVywgHg==" spinCount="100000" sheet="1" objects="1" scenarios="1"/>
  <hyperlinks>
    <hyperlink ref="C44" r:id="rId1" xr:uid="{00000000-0004-0000-0B00-000000000000}"/>
    <hyperlink ref="C41" r:id="rId2" xr:uid="{00000000-0004-0000-0B00-000001000000}"/>
  </hyperlinks>
  <pageMargins left="0.7" right="0.7" top="0.75" bottom="0.75" header="0.3" footer="0.3"/>
  <pageSetup scale="65" orientation="portrait" r:id="rId3"/>
  <drawing r:id="rId4"/>
  <legacyDrawing r:id="rId5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2:W60"/>
  <sheetViews>
    <sheetView showGridLines="0" topLeftCell="A16" zoomScale="130" zoomScaleNormal="130" workbookViewId="0">
      <selection activeCell="J37" sqref="J37"/>
    </sheetView>
  </sheetViews>
  <sheetFormatPr defaultColWidth="10.88671875" defaultRowHeight="13.8" x14ac:dyDescent="0.3"/>
  <cols>
    <col min="1" max="1" width="8.88671875" style="271" customWidth="1"/>
    <col min="2" max="2" width="3.44140625" style="271" customWidth="1"/>
    <col min="3" max="3" width="31.88671875" style="271" customWidth="1"/>
    <col min="4" max="4" width="10" style="271" customWidth="1"/>
    <col min="5" max="5" width="12.44140625" style="271" customWidth="1"/>
    <col min="6" max="6" width="14.44140625" style="271" customWidth="1"/>
    <col min="7" max="7" width="10.88671875" style="271" bestFit="1" customWidth="1"/>
    <col min="8" max="8" width="21.44140625" style="271" customWidth="1"/>
    <col min="9" max="9" width="14.5546875" style="271" bestFit="1" customWidth="1"/>
    <col min="10" max="10" width="16.109375" style="271" bestFit="1" customWidth="1"/>
    <col min="11" max="11" width="14.44140625" style="271" customWidth="1"/>
    <col min="12" max="12" width="11.109375" style="271" customWidth="1"/>
    <col min="13" max="13" width="11" style="271" customWidth="1"/>
    <col min="14" max="14" width="2.88671875" style="271" customWidth="1"/>
    <col min="15" max="15" width="48.5546875" style="271" customWidth="1"/>
    <col min="16" max="16" width="12.88671875" style="271" customWidth="1"/>
    <col min="17" max="250" width="8.88671875" style="271" customWidth="1"/>
    <col min="251" max="251" width="3.44140625" style="271" customWidth="1"/>
    <col min="252" max="252" width="18.109375" style="271" customWidth="1"/>
    <col min="253" max="253" width="14.44140625" style="271" customWidth="1"/>
    <col min="254" max="254" width="12.44140625" style="271" customWidth="1"/>
    <col min="255" max="255" width="14.44140625" style="271" customWidth="1"/>
    <col min="256" max="16384" width="10.88671875" style="271"/>
  </cols>
  <sheetData>
    <row r="2" spans="3:23" x14ac:dyDescent="0.3">
      <c r="C2" s="270"/>
      <c r="D2" s="270"/>
      <c r="E2" s="270"/>
      <c r="F2" s="270"/>
      <c r="H2" s="270"/>
      <c r="I2" s="270"/>
    </row>
    <row r="3" spans="3:23" x14ac:dyDescent="0.3">
      <c r="C3" s="272"/>
      <c r="D3" s="273" t="s">
        <v>351</v>
      </c>
      <c r="E3" s="273"/>
      <c r="F3" s="274"/>
      <c r="H3" s="275" t="s">
        <v>352</v>
      </c>
      <c r="I3" s="276"/>
      <c r="K3" s="277" t="s">
        <v>353</v>
      </c>
    </row>
    <row r="4" spans="3:23" x14ac:dyDescent="0.3">
      <c r="C4" s="278"/>
      <c r="D4" s="279"/>
      <c r="E4" s="279" t="s">
        <v>353</v>
      </c>
      <c r="F4" s="280"/>
      <c r="H4" s="746" t="s">
        <v>85</v>
      </c>
      <c r="I4" s="747"/>
      <c r="K4" s="281" t="s">
        <v>354</v>
      </c>
    </row>
    <row r="5" spans="3:23" x14ac:dyDescent="0.3">
      <c r="C5" s="282" t="s">
        <v>355</v>
      </c>
      <c r="D5" s="283"/>
      <c r="E5" s="283">
        <f t="shared" ref="E5" si="0">E6/E7</f>
        <v>124.95602739726026</v>
      </c>
      <c r="F5" s="283"/>
      <c r="H5" s="282" t="s">
        <v>355</v>
      </c>
      <c r="I5" s="284">
        <f>I6/I7</f>
        <v>2.1768159499554423</v>
      </c>
      <c r="K5" s="283">
        <f>F34/M21</f>
        <v>0.13442924617264387</v>
      </c>
    </row>
    <row r="6" spans="3:23" x14ac:dyDescent="0.3">
      <c r="C6" s="271" t="s">
        <v>356</v>
      </c>
      <c r="D6" s="285"/>
      <c r="E6" s="285">
        <f>$F$21</f>
        <v>142.57</v>
      </c>
      <c r="F6" s="285"/>
      <c r="H6" s="271" t="s">
        <v>357</v>
      </c>
      <c r="I6" s="286">
        <f>SUM(F27:F32)</f>
        <v>124577</v>
      </c>
      <c r="K6" s="287"/>
    </row>
    <row r="7" spans="3:23" x14ac:dyDescent="0.3">
      <c r="C7" s="270" t="s">
        <v>358</v>
      </c>
      <c r="D7" s="288"/>
      <c r="E7" s="288">
        <f>M42</f>
        <v>1.1409613683279269</v>
      </c>
      <c r="F7" s="288"/>
      <c r="H7" s="270" t="s">
        <v>85</v>
      </c>
      <c r="I7" s="289">
        <f>E14</f>
        <v>57229</v>
      </c>
      <c r="K7" s="290" t="s">
        <v>359</v>
      </c>
    </row>
    <row r="8" spans="3:23" x14ac:dyDescent="0.3">
      <c r="H8" s="271" t="s">
        <v>360</v>
      </c>
      <c r="I8" s="291">
        <f>SUM(F27:F32)/(F25+SUM(F27:F32))</f>
        <v>0.98847539448963662</v>
      </c>
      <c r="J8" s="292"/>
      <c r="K8" s="293">
        <v>0</v>
      </c>
    </row>
    <row r="9" spans="3:23" x14ac:dyDescent="0.3">
      <c r="H9" s="271" t="s">
        <v>361</v>
      </c>
      <c r="I9" s="291">
        <f>1-I8</f>
        <v>1.1524605510363384E-2</v>
      </c>
      <c r="K9" s="290" t="s">
        <v>362</v>
      </c>
      <c r="M9" s="283"/>
    </row>
    <row r="10" spans="3:23" x14ac:dyDescent="0.3">
      <c r="C10" s="272"/>
      <c r="D10" s="273" t="s">
        <v>363</v>
      </c>
      <c r="E10" s="273"/>
      <c r="F10" s="274"/>
      <c r="H10" s="275" t="s">
        <v>364</v>
      </c>
      <c r="I10" s="276"/>
      <c r="K10" s="294">
        <f>K8/F21-1</f>
        <v>-1</v>
      </c>
      <c r="L10" s="295"/>
      <c r="V10" s="296"/>
    </row>
    <row r="11" spans="3:23" x14ac:dyDescent="0.3">
      <c r="C11" s="278"/>
      <c r="D11" s="279"/>
      <c r="E11" s="279" t="s">
        <v>353</v>
      </c>
      <c r="F11" s="280"/>
      <c r="H11" s="746" t="s">
        <v>298</v>
      </c>
      <c r="I11" s="747"/>
      <c r="L11" s="295"/>
      <c r="M11" s="297"/>
      <c r="V11" s="296"/>
      <c r="W11" s="296"/>
    </row>
    <row r="12" spans="3:23" x14ac:dyDescent="0.3">
      <c r="C12" s="282" t="s">
        <v>355</v>
      </c>
      <c r="D12" s="283"/>
      <c r="E12" s="283">
        <f t="shared" ref="E12" si="1">E13/E14</f>
        <v>1.141369577902462</v>
      </c>
      <c r="F12" s="283"/>
      <c r="H12" s="282" t="s">
        <v>355</v>
      </c>
      <c r="I12" s="298">
        <f>I13/I14</f>
        <v>2.6682276468224152E-2</v>
      </c>
      <c r="K12" s="277" t="s">
        <v>315</v>
      </c>
      <c r="V12" s="296"/>
    </row>
    <row r="13" spans="3:23" x14ac:dyDescent="0.3">
      <c r="C13" s="271" t="s">
        <v>365</v>
      </c>
      <c r="D13" s="299"/>
      <c r="E13" s="299">
        <f>$F$34</f>
        <v>65319.439573780001</v>
      </c>
      <c r="F13" s="299"/>
      <c r="H13" s="271" t="s">
        <v>298</v>
      </c>
      <c r="I13" s="286">
        <f>-M29</f>
        <v>1527</v>
      </c>
      <c r="K13" s="281" t="s">
        <v>366</v>
      </c>
      <c r="V13" s="296"/>
    </row>
    <row r="14" spans="3:23" x14ac:dyDescent="0.3">
      <c r="C14" s="270" t="s">
        <v>85</v>
      </c>
      <c r="D14" s="300"/>
      <c r="E14" s="300">
        <f>M38</f>
        <v>57229</v>
      </c>
      <c r="F14" s="300"/>
      <c r="H14" s="270" t="s">
        <v>85</v>
      </c>
      <c r="I14" s="289">
        <f>I7</f>
        <v>57229</v>
      </c>
      <c r="K14" s="301">
        <f>SUM(F27:F31)/(E14)</f>
        <v>2.1768159499554423</v>
      </c>
      <c r="L14" s="297"/>
      <c r="V14" s="302"/>
    </row>
    <row r="15" spans="3:23" x14ac:dyDescent="0.3">
      <c r="D15" s="303"/>
      <c r="E15" s="304"/>
      <c r="F15" s="303"/>
      <c r="I15" s="305"/>
    </row>
    <row r="17" spans="3:17" ht="15.6" x14ac:dyDescent="0.3">
      <c r="C17" s="306" t="s">
        <v>367</v>
      </c>
      <c r="D17" s="307"/>
      <c r="E17" s="307"/>
      <c r="F17" s="307"/>
      <c r="G17" s="307"/>
      <c r="H17" s="306" t="s">
        <v>75</v>
      </c>
    </row>
    <row r="18" spans="3:17" x14ac:dyDescent="0.3">
      <c r="C18" s="308" t="s">
        <v>368</v>
      </c>
      <c r="D18" s="309"/>
      <c r="E18" s="309"/>
      <c r="F18" s="309"/>
      <c r="H18" s="308" t="s">
        <v>368</v>
      </c>
    </row>
    <row r="19" spans="3:17" ht="25.8" x14ac:dyDescent="0.5">
      <c r="C19" s="310" t="s">
        <v>425</v>
      </c>
      <c r="D19" s="311"/>
      <c r="E19" s="312"/>
      <c r="F19" s="313"/>
      <c r="H19" s="314"/>
      <c r="I19" s="315"/>
      <c r="J19" s="316" t="s">
        <v>369</v>
      </c>
      <c r="K19" s="748" t="s">
        <v>584</v>
      </c>
      <c r="L19" s="748"/>
      <c r="M19" s="317" t="s">
        <v>353</v>
      </c>
      <c r="N19" s="318"/>
    </row>
    <row r="20" spans="3:17" ht="15" customHeight="1" x14ac:dyDescent="0.5">
      <c r="C20" s="319"/>
      <c r="D20" s="320"/>
      <c r="E20" s="321"/>
      <c r="F20" s="322"/>
      <c r="H20" s="323"/>
      <c r="I20" s="270"/>
      <c r="J20" s="324">
        <v>44561</v>
      </c>
      <c r="K20" s="325" t="s">
        <v>582</v>
      </c>
      <c r="L20" s="325" t="s">
        <v>583</v>
      </c>
      <c r="M20" s="326">
        <f>DATE(YEAR(J20)+1,MONTH(J20),DAY(J20))</f>
        <v>44926</v>
      </c>
      <c r="N20" s="327"/>
      <c r="O20" s="328" t="s">
        <v>370</v>
      </c>
    </row>
    <row r="21" spans="3:17" x14ac:dyDescent="0.3">
      <c r="C21" s="451" t="str">
        <f>"Share price as of " &amp;  TEXT('Comparable Trading analysis'!C8,"mm/dd/yyy")</f>
        <v>Share price as of 01/08/2022</v>
      </c>
      <c r="F21" s="329">
        <v>142.57</v>
      </c>
      <c r="H21" s="271" t="s">
        <v>371</v>
      </c>
      <c r="J21" s="453">
        <v>469822</v>
      </c>
      <c r="K21" s="454">
        <v>221598</v>
      </c>
      <c r="L21" s="454">
        <v>237678</v>
      </c>
      <c r="M21" s="330">
        <f>J21-K21+L21</f>
        <v>485902</v>
      </c>
      <c r="N21" s="330"/>
      <c r="O21" s="331"/>
    </row>
    <row r="22" spans="3:17" x14ac:dyDescent="0.3">
      <c r="C22" s="271" t="s">
        <v>372</v>
      </c>
      <c r="D22" s="282"/>
      <c r="E22" s="725">
        <v>10187554.818</v>
      </c>
      <c r="F22" s="332">
        <v>10.187554</v>
      </c>
      <c r="H22" s="333" t="s">
        <v>33</v>
      </c>
      <c r="J22" s="455">
        <v>-272344</v>
      </c>
      <c r="K22" s="455">
        <v>-126579</v>
      </c>
      <c r="L22" s="455">
        <v>-132923</v>
      </c>
      <c r="M22" s="456">
        <f>J22-K22+L22</f>
        <v>-278688</v>
      </c>
      <c r="N22" s="334"/>
      <c r="O22" s="331"/>
    </row>
    <row r="23" spans="3:17" x14ac:dyDescent="0.3">
      <c r="C23" s="270" t="s">
        <v>373</v>
      </c>
      <c r="D23" s="270"/>
      <c r="E23" s="270"/>
      <c r="F23" s="335">
        <f>F48</f>
        <v>0</v>
      </c>
      <c r="H23" s="282" t="s">
        <v>76</v>
      </c>
      <c r="I23" s="282"/>
      <c r="J23" s="457">
        <f>J21+J22</f>
        <v>197478</v>
      </c>
      <c r="K23" s="457">
        <f>K21+K22</f>
        <v>95019</v>
      </c>
      <c r="L23" s="457">
        <f>L21+L22</f>
        <v>104755</v>
      </c>
      <c r="M23" s="457">
        <f>M21+M22</f>
        <v>207214</v>
      </c>
      <c r="N23" s="336"/>
      <c r="O23" s="331"/>
    </row>
    <row r="24" spans="3:17" x14ac:dyDescent="0.3">
      <c r="C24" s="337" t="s">
        <v>374</v>
      </c>
      <c r="D24" s="337"/>
      <c r="E24" s="337"/>
      <c r="F24" s="338">
        <f>SUM(F22:F23)</f>
        <v>10.187554</v>
      </c>
      <c r="H24" s="333" t="s">
        <v>580</v>
      </c>
      <c r="J24" s="458">
        <f>75111+8823</f>
        <v>83934</v>
      </c>
      <c r="K24" s="458">
        <f>34168+4145</f>
        <v>38313</v>
      </c>
      <c r="L24" s="458">
        <f>40613+5497</f>
        <v>46110</v>
      </c>
      <c r="M24" s="330">
        <f>J24-K24+L24</f>
        <v>91731</v>
      </c>
      <c r="N24" s="334"/>
      <c r="O24" s="331"/>
    </row>
    <row r="25" spans="3:17" x14ac:dyDescent="0.3">
      <c r="C25" s="282" t="s">
        <v>375</v>
      </c>
      <c r="D25" s="282"/>
      <c r="E25" s="282"/>
      <c r="F25" s="452">
        <f>F24*F21</f>
        <v>1452.43957378</v>
      </c>
      <c r="H25" s="333" t="s">
        <v>581</v>
      </c>
      <c r="J25" s="458">
        <f>56052+32551</f>
        <v>88603</v>
      </c>
      <c r="K25" s="458">
        <f>26359+13731</f>
        <v>40090</v>
      </c>
      <c r="L25" s="458">
        <f>32914+18406</f>
        <v>51320</v>
      </c>
      <c r="M25" s="330">
        <f>J25-K25+L25</f>
        <v>99833</v>
      </c>
      <c r="N25" s="334"/>
      <c r="O25" s="331"/>
      <c r="P25" s="339"/>
    </row>
    <row r="26" spans="3:17" x14ac:dyDescent="0.3">
      <c r="C26" s="282" t="s">
        <v>376</v>
      </c>
      <c r="F26" s="340"/>
      <c r="H26" s="333" t="s">
        <v>377</v>
      </c>
      <c r="J26" s="459">
        <v>62</v>
      </c>
      <c r="K26" s="459">
        <v>49</v>
      </c>
      <c r="L26" s="459">
        <v>339</v>
      </c>
      <c r="M26" s="456">
        <f>J26-K26+L26</f>
        <v>352</v>
      </c>
      <c r="N26" s="334"/>
      <c r="O26" s="331"/>
      <c r="P26" s="339"/>
    </row>
    <row r="27" spans="3:17" x14ac:dyDescent="0.3">
      <c r="C27" s="333" t="s">
        <v>378</v>
      </c>
      <c r="F27" s="341">
        <v>0</v>
      </c>
      <c r="H27" s="282" t="s">
        <v>379</v>
      </c>
      <c r="I27" s="282"/>
      <c r="J27" s="460">
        <f>SUM(J24:J26)</f>
        <v>172599</v>
      </c>
      <c r="K27" s="460">
        <f t="shared" ref="K27:M27" si="2">SUM(K24:K26)</f>
        <v>78452</v>
      </c>
      <c r="L27" s="460">
        <f t="shared" si="2"/>
        <v>97769</v>
      </c>
      <c r="M27" s="460">
        <f t="shared" si="2"/>
        <v>191916</v>
      </c>
      <c r="N27" s="336"/>
      <c r="O27" s="331"/>
    </row>
    <row r="28" spans="3:17" x14ac:dyDescent="0.3">
      <c r="C28" s="333" t="s">
        <v>64</v>
      </c>
      <c r="F28" s="341">
        <v>58053</v>
      </c>
      <c r="G28" s="342">
        <f>F28+F27+F29</f>
        <v>124577</v>
      </c>
      <c r="H28" s="343" t="s">
        <v>380</v>
      </c>
      <c r="I28" s="282"/>
      <c r="J28" s="349">
        <f>J23-J27</f>
        <v>24879</v>
      </c>
      <c r="K28" s="349">
        <f t="shared" ref="K28:M28" si="3">K23-K27</f>
        <v>16567</v>
      </c>
      <c r="L28" s="349">
        <f t="shared" si="3"/>
        <v>6986</v>
      </c>
      <c r="M28" s="349">
        <f t="shared" si="3"/>
        <v>15298</v>
      </c>
      <c r="N28" s="344"/>
      <c r="O28" s="331"/>
    </row>
    <row r="29" spans="3:17" x14ac:dyDescent="0.3">
      <c r="C29" s="333" t="s">
        <v>63</v>
      </c>
      <c r="F29" s="341">
        <v>66524</v>
      </c>
      <c r="H29" s="333" t="s">
        <v>381</v>
      </c>
      <c r="J29" s="453">
        <f>448-1809</f>
        <v>-1361</v>
      </c>
      <c r="K29" s="453">
        <f>211-834</f>
        <v>-623</v>
      </c>
      <c r="L29" s="453">
        <f>267-1056</f>
        <v>-789</v>
      </c>
      <c r="M29" s="330">
        <f>J29-K29+L29</f>
        <v>-1527</v>
      </c>
      <c r="N29" s="334"/>
      <c r="O29" s="331"/>
      <c r="P29" s="345"/>
      <c r="Q29" s="291"/>
    </row>
    <row r="30" spans="3:17" x14ac:dyDescent="0.3">
      <c r="C30" s="346" t="s">
        <v>382</v>
      </c>
      <c r="D30" s="347"/>
      <c r="E30" s="347"/>
      <c r="F30" s="341">
        <v>0</v>
      </c>
      <c r="G30" s="297" t="s">
        <v>578</v>
      </c>
      <c r="H30" s="348" t="s">
        <v>377</v>
      </c>
      <c r="J30" s="453">
        <v>14633</v>
      </c>
      <c r="K30" s="453">
        <v>2958</v>
      </c>
      <c r="L30" s="453">
        <v>-14115</v>
      </c>
      <c r="M30" s="330">
        <f>J30-K30+L30</f>
        <v>-2440</v>
      </c>
      <c r="N30" s="334"/>
      <c r="O30" s="331"/>
    </row>
    <row r="31" spans="3:17" x14ac:dyDescent="0.3">
      <c r="C31" s="333" t="s">
        <v>383</v>
      </c>
      <c r="F31" s="341">
        <v>0</v>
      </c>
      <c r="G31" s="297" t="s">
        <v>579</v>
      </c>
      <c r="H31" s="282" t="s">
        <v>384</v>
      </c>
      <c r="I31" s="282"/>
      <c r="J31" s="457">
        <f>J28+J29+J30</f>
        <v>38151</v>
      </c>
      <c r="K31" s="457">
        <f>K28+K29+K30</f>
        <v>18902</v>
      </c>
      <c r="L31" s="457">
        <f>L28+L29+L30</f>
        <v>-7918</v>
      </c>
      <c r="M31" s="457">
        <f>M28+M29+M30</f>
        <v>11331</v>
      </c>
      <c r="N31" s="349"/>
      <c r="O31" s="331"/>
    </row>
    <row r="32" spans="3:17" x14ac:dyDescent="0.3">
      <c r="C32" s="333" t="s">
        <v>385</v>
      </c>
      <c r="F32" s="341">
        <v>0</v>
      </c>
      <c r="H32" s="333" t="s">
        <v>585</v>
      </c>
      <c r="J32" s="453">
        <f>-4791</f>
        <v>-4791</v>
      </c>
      <c r="K32" s="453">
        <v>-3024</v>
      </c>
      <c r="L32" s="453">
        <v>2059</v>
      </c>
      <c r="M32" s="330">
        <f>J32-K32+L32</f>
        <v>292</v>
      </c>
      <c r="N32" s="334"/>
      <c r="O32" s="331"/>
    </row>
    <row r="33" spans="3:16" x14ac:dyDescent="0.3">
      <c r="C33" s="270" t="s">
        <v>386</v>
      </c>
      <c r="D33" s="270"/>
      <c r="E33" s="270"/>
      <c r="F33" s="350">
        <f>-37478-23232</f>
        <v>-60710</v>
      </c>
      <c r="H33" s="282" t="s">
        <v>387</v>
      </c>
      <c r="I33" s="282"/>
      <c r="J33" s="457">
        <f>SUM(J31:J32)</f>
        <v>33360</v>
      </c>
      <c r="K33" s="457">
        <f>SUM(K31:K32)</f>
        <v>15878</v>
      </c>
      <c r="L33" s="457">
        <f>SUM(L31:L32)</f>
        <v>-5859</v>
      </c>
      <c r="M33" s="457">
        <f>SUM(M31:M32)</f>
        <v>11623</v>
      </c>
      <c r="N33" s="336"/>
      <c r="O33" s="331"/>
      <c r="P33" s="351"/>
    </row>
    <row r="34" spans="3:16" x14ac:dyDescent="0.3">
      <c r="C34" s="352" t="s">
        <v>388</v>
      </c>
      <c r="D34" s="337"/>
      <c r="E34" s="337"/>
      <c r="F34" s="353">
        <f>F25+SUM(F27:F33)</f>
        <v>65319.439573780001</v>
      </c>
      <c r="G34" s="291"/>
      <c r="H34" s="333" t="s">
        <v>426</v>
      </c>
      <c r="J34" s="453">
        <v>4</v>
      </c>
      <c r="K34" s="453">
        <v>7</v>
      </c>
      <c r="L34" s="453">
        <v>-13</v>
      </c>
      <c r="M34" s="330">
        <f>J34-K34+L34</f>
        <v>-16</v>
      </c>
      <c r="N34" s="334"/>
      <c r="O34" s="331"/>
      <c r="P34" s="351"/>
    </row>
    <row r="35" spans="3:16" x14ac:dyDescent="0.3">
      <c r="G35" s="339"/>
      <c r="H35" s="282" t="s">
        <v>45</v>
      </c>
      <c r="I35" s="282"/>
      <c r="J35" s="457">
        <f>J33+J34</f>
        <v>33364</v>
      </c>
      <c r="K35" s="457">
        <f>K33+K34</f>
        <v>15885</v>
      </c>
      <c r="L35" s="457">
        <f>L33+L34</f>
        <v>-5872</v>
      </c>
      <c r="M35" s="457">
        <f>M33+M34</f>
        <v>11607</v>
      </c>
      <c r="N35" s="349"/>
      <c r="O35" s="331"/>
      <c r="P35" s="339"/>
    </row>
    <row r="36" spans="3:16" x14ac:dyDescent="0.3">
      <c r="F36" s="354"/>
      <c r="G36" s="339"/>
      <c r="J36" s="305"/>
      <c r="K36" s="305"/>
      <c r="L36" s="305"/>
      <c r="M36" s="305"/>
      <c r="N36" s="344"/>
      <c r="O36" s="331"/>
    </row>
    <row r="37" spans="3:16" x14ac:dyDescent="0.3">
      <c r="C37" s="287"/>
      <c r="H37" s="271" t="s">
        <v>307</v>
      </c>
      <c r="J37" s="458">
        <v>34296</v>
      </c>
      <c r="K37" s="458">
        <v>29687</v>
      </c>
      <c r="L37" s="458">
        <v>37322</v>
      </c>
      <c r="M37" s="330">
        <f>J37-K37+L37</f>
        <v>41931</v>
      </c>
      <c r="N37" s="334"/>
      <c r="O37" s="331"/>
    </row>
    <row r="38" spans="3:16" x14ac:dyDescent="0.3">
      <c r="H38" s="282" t="s">
        <v>389</v>
      </c>
      <c r="I38" s="282"/>
      <c r="J38" s="457">
        <f>J28+J37</f>
        <v>59175</v>
      </c>
      <c r="K38" s="457">
        <f>K28+K37</f>
        <v>46254</v>
      </c>
      <c r="L38" s="457">
        <f>L28+L37</f>
        <v>44308</v>
      </c>
      <c r="M38" s="457">
        <f>M28+M37</f>
        <v>57229</v>
      </c>
      <c r="N38" s="349"/>
      <c r="O38" s="355"/>
      <c r="P38" s="339"/>
    </row>
    <row r="39" spans="3:16" x14ac:dyDescent="0.3">
      <c r="C39" s="356" t="s">
        <v>390</v>
      </c>
      <c r="D39" s="315"/>
      <c r="E39" s="357" t="s">
        <v>391</v>
      </c>
      <c r="F39" s="357" t="s">
        <v>392</v>
      </c>
      <c r="J39" s="344"/>
      <c r="K39" s="344"/>
      <c r="L39" s="344"/>
      <c r="M39" s="344"/>
      <c r="N39" s="344"/>
      <c r="P39" s="339"/>
    </row>
    <row r="40" spans="3:16" x14ac:dyDescent="0.3">
      <c r="C40" s="358" t="s">
        <v>393</v>
      </c>
      <c r="D40" s="270"/>
      <c r="E40" s="279" t="s">
        <v>356</v>
      </c>
      <c r="F40" s="279" t="s">
        <v>394</v>
      </c>
      <c r="H40" s="282" t="s">
        <v>395</v>
      </c>
    </row>
    <row r="41" spans="3:16" x14ac:dyDescent="0.3">
      <c r="C41" s="359">
        <v>14</v>
      </c>
      <c r="E41" s="360">
        <v>2684</v>
      </c>
      <c r="F41" s="361">
        <f t="shared" ref="F41:F47" si="4">IF(F$21&gt;E41,C41-C41*E41/F$21,0)</f>
        <v>0</v>
      </c>
      <c r="H41" s="333" t="s">
        <v>396</v>
      </c>
      <c r="J41" s="339">
        <f>J35/J45</f>
        <v>65.936758893280626</v>
      </c>
      <c r="K41" s="339">
        <f>K35/K45</f>
        <v>1.5744870651204281</v>
      </c>
      <c r="L41" s="339">
        <f>L35/L45</f>
        <v>-0.57721419443625288</v>
      </c>
      <c r="M41" s="339">
        <f>M35/M45</f>
        <v>1.1409613683279269</v>
      </c>
      <c r="N41" s="305"/>
    </row>
    <row r="42" spans="3:16" x14ac:dyDescent="0.3">
      <c r="C42" s="359">
        <v>0</v>
      </c>
      <c r="E42" s="362">
        <v>0</v>
      </c>
      <c r="F42" s="363">
        <f t="shared" si="4"/>
        <v>0</v>
      </c>
      <c r="H42" s="333" t="s">
        <v>49</v>
      </c>
      <c r="J42" s="461">
        <v>23.01</v>
      </c>
      <c r="K42" s="339">
        <f>K35/K46</f>
        <v>1.5458349552355002</v>
      </c>
      <c r="L42" s="339">
        <f>L35/L46</f>
        <v>-0.57721419443625288</v>
      </c>
      <c r="M42" s="339">
        <f>M35/M46</f>
        <v>1.1409613683279269</v>
      </c>
      <c r="N42" s="305"/>
    </row>
    <row r="43" spans="3:16" x14ac:dyDescent="0.3">
      <c r="C43" s="359">
        <v>0</v>
      </c>
      <c r="E43" s="362">
        <v>0</v>
      </c>
      <c r="F43" s="363">
        <f t="shared" si="4"/>
        <v>0</v>
      </c>
      <c r="J43" s="339"/>
      <c r="K43" s="339" t="s">
        <v>594</v>
      </c>
      <c r="L43" s="339"/>
      <c r="M43" s="461">
        <v>2.29</v>
      </c>
    </row>
    <row r="44" spans="3:16" x14ac:dyDescent="0.3">
      <c r="C44" s="359">
        <v>0</v>
      </c>
      <c r="E44" s="362">
        <v>0</v>
      </c>
      <c r="F44" s="363">
        <f t="shared" si="4"/>
        <v>0</v>
      </c>
      <c r="H44" s="282" t="s">
        <v>372</v>
      </c>
      <c r="J44" s="339"/>
      <c r="K44" s="339"/>
      <c r="L44" s="339"/>
      <c r="M44" s="339"/>
    </row>
    <row r="45" spans="3:16" x14ac:dyDescent="0.3">
      <c r="C45" s="359">
        <v>0</v>
      </c>
      <c r="E45" s="362">
        <v>0</v>
      </c>
      <c r="F45" s="363">
        <f t="shared" si="4"/>
        <v>0</v>
      </c>
      <c r="H45" s="333" t="str">
        <f>H41</f>
        <v xml:space="preserve">Basic </v>
      </c>
      <c r="J45" s="354">
        <v>506</v>
      </c>
      <c r="K45" s="683">
        <v>10089</v>
      </c>
      <c r="L45" s="684">
        <v>10173</v>
      </c>
      <c r="M45" s="364">
        <f>L45</f>
        <v>10173</v>
      </c>
      <c r="N45" s="364"/>
    </row>
    <row r="46" spans="3:16" x14ac:dyDescent="0.3">
      <c r="C46" s="359">
        <v>0</v>
      </c>
      <c r="E46" s="362">
        <v>0</v>
      </c>
      <c r="F46" s="363">
        <f t="shared" si="4"/>
        <v>0</v>
      </c>
      <c r="H46" s="333" t="str">
        <f>H42</f>
        <v>Diluted</v>
      </c>
      <c r="J46" s="354">
        <v>515</v>
      </c>
      <c r="K46" s="683">
        <v>10276</v>
      </c>
      <c r="L46" s="683">
        <v>10173</v>
      </c>
      <c r="M46" s="364">
        <f>L46</f>
        <v>10173</v>
      </c>
      <c r="N46" s="364"/>
    </row>
    <row r="47" spans="3:16" x14ac:dyDescent="0.3">
      <c r="C47" s="359">
        <v>0</v>
      </c>
      <c r="E47" s="362">
        <v>0</v>
      </c>
      <c r="F47" s="363">
        <f t="shared" si="4"/>
        <v>0</v>
      </c>
      <c r="J47" s="365"/>
      <c r="K47" s="365"/>
      <c r="L47" s="365"/>
      <c r="M47" s="365"/>
      <c r="N47" s="365"/>
    </row>
    <row r="48" spans="3:16" x14ac:dyDescent="0.3">
      <c r="C48" s="366">
        <f>SUM(C41:C47)</f>
        <v>14</v>
      </c>
      <c r="D48" s="367"/>
      <c r="E48" s="367"/>
      <c r="F48" s="368">
        <f>SUM(F41:F47)</f>
        <v>0</v>
      </c>
      <c r="H48" s="282" t="s">
        <v>397</v>
      </c>
      <c r="J48" s="365"/>
      <c r="K48" s="365"/>
      <c r="L48" s="365"/>
      <c r="M48" s="365"/>
      <c r="N48" s="365"/>
    </row>
    <row r="49" spans="3:16" x14ac:dyDescent="0.3">
      <c r="C49" s="287" t="s">
        <v>398</v>
      </c>
      <c r="H49" s="333" t="str">
        <f>H23</f>
        <v>Gross profit</v>
      </c>
      <c r="J49" s="302">
        <f>J23/J21</f>
        <v>0.42032514441639601</v>
      </c>
      <c r="K49" s="302">
        <f>K23/K21</f>
        <v>0.42878997102861938</v>
      </c>
      <c r="L49" s="302">
        <f>L23/L21</f>
        <v>0.44074335866171882</v>
      </c>
      <c r="M49" s="302">
        <f>M23/M21</f>
        <v>0.42645224757255579</v>
      </c>
      <c r="N49" s="369"/>
    </row>
    <row r="50" spans="3:16" x14ac:dyDescent="0.3">
      <c r="H50" s="333" t="str">
        <f>H28</f>
        <v>Operating income (EBIT)</v>
      </c>
      <c r="J50" s="302">
        <f>J28/J21</f>
        <v>5.2954097509269465E-2</v>
      </c>
      <c r="K50" s="302">
        <f>K28/K21</f>
        <v>7.4761505067735268E-2</v>
      </c>
      <c r="L50" s="302">
        <f>L28/L21</f>
        <v>2.9392707781115628E-2</v>
      </c>
      <c r="M50" s="302">
        <f>M28/M21</f>
        <v>3.1483714823153638E-2</v>
      </c>
      <c r="N50" s="302"/>
    </row>
    <row r="51" spans="3:16" x14ac:dyDescent="0.3">
      <c r="H51" s="333" t="s">
        <v>45</v>
      </c>
      <c r="J51" s="302">
        <f>J35/J21</f>
        <v>7.1014128755145567E-2</v>
      </c>
      <c r="K51" s="302">
        <f>K35/K21</f>
        <v>7.1683859962635044E-2</v>
      </c>
      <c r="L51" s="302">
        <f>L35/L21</f>
        <v>-2.4705694258618804E-2</v>
      </c>
      <c r="M51" s="302">
        <f>M35/M21</f>
        <v>2.3887532876999889E-2</v>
      </c>
      <c r="N51" s="302"/>
    </row>
    <row r="52" spans="3:16" x14ac:dyDescent="0.3">
      <c r="H52" s="333" t="s">
        <v>85</v>
      </c>
      <c r="J52" s="302">
        <f>J38/J21</f>
        <v>0.1259519562728012</v>
      </c>
      <c r="K52" s="302">
        <f>K38/K21</f>
        <v>0.20872932066173883</v>
      </c>
      <c r="L52" s="302">
        <f>L38/L21</f>
        <v>0.18642028290376056</v>
      </c>
      <c r="M52" s="302">
        <f>M38/M21</f>
        <v>0.11777889368638121</v>
      </c>
      <c r="N52" s="302"/>
    </row>
    <row r="53" spans="3:16" ht="14.4" thickBot="1" x14ac:dyDescent="0.35">
      <c r="H53" s="370"/>
      <c r="I53" s="370"/>
      <c r="J53" s="370"/>
      <c r="K53" s="370"/>
      <c r="L53" s="370"/>
      <c r="M53" s="370"/>
    </row>
    <row r="54" spans="3:16" x14ac:dyDescent="0.3">
      <c r="H54" s="287" t="s">
        <v>399</v>
      </c>
    </row>
    <row r="55" spans="3:16" x14ac:dyDescent="0.3">
      <c r="H55" s="287" t="s">
        <v>398</v>
      </c>
    </row>
    <row r="56" spans="3:16" x14ac:dyDescent="0.3">
      <c r="G56" s="286"/>
    </row>
    <row r="58" spans="3:16" x14ac:dyDescent="0.3">
      <c r="P58" s="286"/>
    </row>
    <row r="60" spans="3:16" x14ac:dyDescent="0.3">
      <c r="J60" s="371"/>
    </row>
  </sheetData>
  <sheetProtection algorithmName="SHA-512" hashValue="rN4GWI9s85wIqOARnsEZaRn0UMA09FBgEQzTpP7+orh4GkjTH8LpK1WW7e/butqFJYajLBLJoMCjTQmGfPJp+A==" saltValue="gJFoKRIisB9TmZqLoHt8Qw==" spinCount="100000" sheet="1" objects="1" scenarios="1"/>
  <mergeCells count="3">
    <mergeCell ref="H4:I4"/>
    <mergeCell ref="H11:I11"/>
    <mergeCell ref="K19:L19"/>
  </mergeCells>
  <pageMargins left="0.7" right="0.7" top="0.75" bottom="0.75" header="0.3" footer="0.3"/>
  <pageSetup orientation="portrait" horizontalDpi="300" verticalDpi="300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P102"/>
  <sheetViews>
    <sheetView showGridLines="0" zoomScale="80" zoomScaleNormal="80" workbookViewId="0">
      <pane xSplit="2" ySplit="8" topLeftCell="C24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defaultColWidth="9.109375" defaultRowHeight="14.4" outlineLevelRow="1" x14ac:dyDescent="0.3"/>
  <cols>
    <col min="2" max="2" width="55.109375" bestFit="1" customWidth="1"/>
    <col min="3" max="3" width="20.21875" bestFit="1" customWidth="1"/>
    <col min="4" max="9" width="15.6640625" customWidth="1"/>
    <col min="10" max="10" width="2.5546875" customWidth="1"/>
    <col min="11" max="11" width="17.33203125" bestFit="1" customWidth="1"/>
    <col min="12" max="13" width="11.77734375" bestFit="1" customWidth="1"/>
  </cols>
  <sheetData>
    <row r="2" spans="1:16" ht="15.6" x14ac:dyDescent="0.3">
      <c r="B2" s="723" t="s">
        <v>602</v>
      </c>
      <c r="D2" s="705" t="s">
        <v>477</v>
      </c>
    </row>
    <row r="3" spans="1:16" ht="15.6" x14ac:dyDescent="0.3">
      <c r="B3" s="724" t="str">
        <f>'football field'!E3</f>
        <v>Wall Street Case</v>
      </c>
      <c r="D3" s="706">
        <f>AVERAGE('Financial model'!G62:L62)</f>
        <v>0.12833333333333333</v>
      </c>
    </row>
    <row r="5" spans="1:16" ht="15.6" x14ac:dyDescent="0.3">
      <c r="B5" s="499" t="s">
        <v>478</v>
      </c>
    </row>
    <row r="6" spans="1:16" x14ac:dyDescent="0.3">
      <c r="B6" t="s">
        <v>479</v>
      </c>
    </row>
    <row r="7" spans="1:16" x14ac:dyDescent="0.3">
      <c r="B7" s="500"/>
      <c r="C7" s="501"/>
      <c r="D7" s="267" t="s">
        <v>480</v>
      </c>
      <c r="E7" s="267"/>
      <c r="F7" s="267"/>
      <c r="G7" s="267"/>
      <c r="H7" s="267"/>
      <c r="I7" s="267"/>
      <c r="J7" s="502"/>
      <c r="K7" s="500" t="s">
        <v>481</v>
      </c>
      <c r="L7" s="503" t="s">
        <v>403</v>
      </c>
      <c r="M7" s="503" t="s">
        <v>404</v>
      </c>
    </row>
    <row r="8" spans="1:16" x14ac:dyDescent="0.3">
      <c r="B8" s="500"/>
      <c r="C8" s="504">
        <v>2021</v>
      </c>
      <c r="D8" s="707">
        <f>C8+1</f>
        <v>2022</v>
      </c>
      <c r="E8" s="707">
        <f t="shared" ref="E8:I8" si="0">D8+1</f>
        <v>2023</v>
      </c>
      <c r="F8" s="707">
        <f t="shared" si="0"/>
        <v>2024</v>
      </c>
      <c r="G8" s="707">
        <f t="shared" si="0"/>
        <v>2025</v>
      </c>
      <c r="H8" s="707">
        <f t="shared" si="0"/>
        <v>2026</v>
      </c>
      <c r="I8" s="707">
        <f t="shared" si="0"/>
        <v>2027</v>
      </c>
      <c r="J8" s="505"/>
      <c r="K8" t="s">
        <v>482</v>
      </c>
      <c r="L8" s="729">
        <f>F37</f>
        <v>260800.69416196327</v>
      </c>
      <c r="M8" s="729">
        <f>I33</f>
        <v>396129.81823804579</v>
      </c>
    </row>
    <row r="9" spans="1:16" x14ac:dyDescent="0.3">
      <c r="A9" s="506"/>
      <c r="B9" s="506" t="s">
        <v>483</v>
      </c>
      <c r="C9" s="709"/>
      <c r="D9" s="506"/>
      <c r="E9" s="506"/>
      <c r="F9" s="506"/>
      <c r="G9" s="506"/>
      <c r="H9" s="506"/>
      <c r="I9" s="506"/>
      <c r="J9" s="506"/>
      <c r="K9" s="269" t="s">
        <v>484</v>
      </c>
      <c r="L9" s="730">
        <f>F56</f>
        <v>108367.40642980109</v>
      </c>
      <c r="M9" s="730">
        <f>I52</f>
        <v>153040.96735762793</v>
      </c>
      <c r="N9" s="506"/>
      <c r="O9" s="506"/>
      <c r="P9" s="506"/>
    </row>
    <row r="10" spans="1:16" ht="20.100000000000001" customHeight="1" x14ac:dyDescent="0.3">
      <c r="B10" s="4" t="s">
        <v>85</v>
      </c>
      <c r="C10" s="710">
        <f>'Financial model'!F46</f>
        <v>59175</v>
      </c>
      <c r="D10" s="507">
        <f>'Financial model'!G46</f>
        <v>71238.598333333357</v>
      </c>
      <c r="E10" s="507">
        <f>'Financial model'!H46</f>
        <v>92849.022315789451</v>
      </c>
      <c r="F10" s="507">
        <f>'Financial model'!I46</f>
        <v>112337.34466666669</v>
      </c>
      <c r="G10" s="507">
        <f>'Financial model'!J46</f>
        <v>135019.22223999997</v>
      </c>
      <c r="H10" s="507">
        <f>'Financial model'!K46</f>
        <v>164597.70094050906</v>
      </c>
      <c r="I10" s="507">
        <f>'Financial model'!L46</f>
        <v>193772.79674730671</v>
      </c>
      <c r="J10" s="507"/>
      <c r="K10" s="114" t="s">
        <v>274</v>
      </c>
      <c r="L10" s="603">
        <f>MEDIAN(L8:L9)</f>
        <v>184584.05029588216</v>
      </c>
      <c r="M10" s="603">
        <f>MEDIAN(M8:M9)</f>
        <v>274585.39279783686</v>
      </c>
    </row>
    <row r="11" spans="1:16" ht="20.100000000000001" customHeight="1" x14ac:dyDescent="0.3">
      <c r="B11" s="4" t="s">
        <v>485</v>
      </c>
      <c r="C11" s="710">
        <f>'Financial model'!F44</f>
        <v>34296</v>
      </c>
      <c r="D11" s="507">
        <f>'Financial model'!G44</f>
        <v>51793.333333333336</v>
      </c>
      <c r="E11" s="507">
        <f>'Financial model'!H44</f>
        <v>61460.526315789473</v>
      </c>
      <c r="F11" s="507">
        <f>'Financial model'!I44</f>
        <v>69310.666666666672</v>
      </c>
      <c r="G11" s="507">
        <f>'Financial model'!J44</f>
        <v>77227.599999999991</v>
      </c>
      <c r="H11" s="507">
        <f>'Financial model'!K44</f>
        <v>84354.909090909088</v>
      </c>
      <c r="I11" s="507">
        <f>'Financial model'!L44</f>
        <v>93621.666666666672</v>
      </c>
      <c r="J11" s="507"/>
    </row>
    <row r="12" spans="1:16" ht="20.100000000000001" customHeight="1" x14ac:dyDescent="0.3">
      <c r="B12" s="708" t="s">
        <v>81</v>
      </c>
      <c r="C12" s="711"/>
      <c r="D12" s="655">
        <f>D10-D11</f>
        <v>19445.265000000021</v>
      </c>
      <c r="E12" s="655">
        <f t="shared" ref="E12:I12" si="1">E10-E11</f>
        <v>31388.495999999977</v>
      </c>
      <c r="F12" s="655">
        <f t="shared" si="1"/>
        <v>43026.678000000014</v>
      </c>
      <c r="G12" s="655">
        <f t="shared" si="1"/>
        <v>57791.622239999982</v>
      </c>
      <c r="H12" s="655">
        <f t="shared" si="1"/>
        <v>80242.791849599977</v>
      </c>
      <c r="I12" s="655">
        <f t="shared" si="1"/>
        <v>100151.13008064004</v>
      </c>
      <c r="J12" s="512"/>
    </row>
    <row r="13" spans="1:16" ht="20.100000000000001" customHeight="1" x14ac:dyDescent="0.3">
      <c r="B13" s="509" t="s">
        <v>486</v>
      </c>
      <c r="C13" s="712"/>
      <c r="D13" s="513">
        <f>-D12*$D$3</f>
        <v>-2495.4756750000024</v>
      </c>
      <c r="E13" s="513">
        <f t="shared" ref="E13:I13" si="2">-E12*$D$3</f>
        <v>-4028.190319999997</v>
      </c>
      <c r="F13" s="513">
        <f t="shared" si="2"/>
        <v>-5521.7570100000012</v>
      </c>
      <c r="G13" s="513">
        <f t="shared" si="2"/>
        <v>-7416.5915207999969</v>
      </c>
      <c r="H13" s="513">
        <f t="shared" si="2"/>
        <v>-10297.824954031996</v>
      </c>
      <c r="I13" s="513">
        <f t="shared" si="2"/>
        <v>-12852.728360348805</v>
      </c>
      <c r="J13" s="514"/>
    </row>
    <row r="14" spans="1:16" ht="20.100000000000001" customHeight="1" x14ac:dyDescent="0.3">
      <c r="B14" s="511" t="s">
        <v>487</v>
      </c>
      <c r="C14" s="713"/>
      <c r="D14" s="123">
        <f>D12+D13</f>
        <v>16949.78932500002</v>
      </c>
      <c r="E14" s="123">
        <f t="shared" ref="E14:I14" si="3">E12+E13</f>
        <v>27360.305679999979</v>
      </c>
      <c r="F14" s="123">
        <f t="shared" si="3"/>
        <v>37504.920990000013</v>
      </c>
      <c r="G14" s="123">
        <f t="shared" si="3"/>
        <v>50375.030719199989</v>
      </c>
      <c r="H14" s="123">
        <f t="shared" si="3"/>
        <v>69944.966895567981</v>
      </c>
      <c r="I14" s="123">
        <f t="shared" si="3"/>
        <v>87298.401720291236</v>
      </c>
      <c r="J14" s="512"/>
    </row>
    <row r="15" spans="1:16" ht="20.100000000000001" customHeight="1" x14ac:dyDescent="0.3">
      <c r="B15" s="4" t="s">
        <v>488</v>
      </c>
      <c r="C15" s="710"/>
      <c r="D15" s="515">
        <f>D11</f>
        <v>51793.333333333336</v>
      </c>
      <c r="E15" s="515">
        <f t="shared" ref="E15:I15" si="4">E11</f>
        <v>61460.526315789473</v>
      </c>
      <c r="F15" s="515">
        <f t="shared" si="4"/>
        <v>69310.666666666672</v>
      </c>
      <c r="G15" s="515">
        <f t="shared" si="4"/>
        <v>77227.599999999991</v>
      </c>
      <c r="H15" s="515">
        <f t="shared" si="4"/>
        <v>84354.909090909088</v>
      </c>
      <c r="I15" s="515">
        <f t="shared" si="4"/>
        <v>93621.666666666672</v>
      </c>
      <c r="J15" s="507"/>
    </row>
    <row r="16" spans="1:16" ht="20.100000000000001" customHeight="1" x14ac:dyDescent="0.3">
      <c r="B16" s="4" t="s">
        <v>489</v>
      </c>
      <c r="C16" s="130"/>
      <c r="D16" s="515">
        <f>'Financial model'!G140</f>
        <v>16247.345980611957</v>
      </c>
      <c r="E16" s="515">
        <f>'Financial model'!H140</f>
        <v>14337.810360083378</v>
      </c>
      <c r="F16" s="515">
        <f>'Financial model'!I140</f>
        <v>14723.599312605478</v>
      </c>
      <c r="G16" s="515">
        <f>'Financial model'!J140</f>
        <v>17507.084685287042</v>
      </c>
      <c r="H16" s="515">
        <f>'Financial model'!K140</f>
        <v>18633.223286167104</v>
      </c>
      <c r="I16" s="515">
        <f>'Financial model'!L140</f>
        <v>23651.778391841755</v>
      </c>
      <c r="J16" s="507"/>
    </row>
    <row r="17" spans="2:10" ht="20.100000000000001" customHeight="1" x14ac:dyDescent="0.3">
      <c r="B17" s="509" t="s">
        <v>490</v>
      </c>
      <c r="C17" s="714"/>
      <c r="D17" s="510">
        <f>'Financial model'!G144</f>
        <v>-46942</v>
      </c>
      <c r="E17" s="510">
        <f>'Financial model'!H144</f>
        <v>-49542</v>
      </c>
      <c r="F17" s="510">
        <f>'Financial model'!I144</f>
        <v>-53431.999999999993</v>
      </c>
      <c r="G17" s="510">
        <f>'Financial model'!J144</f>
        <v>-56541.999999999993</v>
      </c>
      <c r="H17" s="510">
        <f>'Financial model'!K144</f>
        <v>-60000</v>
      </c>
      <c r="I17" s="510">
        <f>'Financial model'!L144</f>
        <v>-69599.999999999985</v>
      </c>
      <c r="J17" s="507"/>
    </row>
    <row r="18" spans="2:10" ht="20.100000000000001" customHeight="1" x14ac:dyDescent="0.3">
      <c r="B18" s="516" t="s">
        <v>491</v>
      </c>
      <c r="C18" s="715"/>
      <c r="D18" s="517">
        <f>SUM(D14:D17)</f>
        <v>38048.468638945313</v>
      </c>
      <c r="E18" s="517">
        <f t="shared" ref="E18:I18" si="5">SUM(E14:E17)</f>
        <v>53616.642355872842</v>
      </c>
      <c r="F18" s="517">
        <f t="shared" si="5"/>
        <v>68107.186969272181</v>
      </c>
      <c r="G18" s="517">
        <f t="shared" si="5"/>
        <v>88567.715404487011</v>
      </c>
      <c r="H18" s="517">
        <f t="shared" si="5"/>
        <v>112933.09927264418</v>
      </c>
      <c r="I18" s="517">
        <f t="shared" si="5"/>
        <v>134971.84677879966</v>
      </c>
      <c r="J18" s="512"/>
    </row>
    <row r="21" spans="2:10" x14ac:dyDescent="0.3">
      <c r="B21" s="518" t="s">
        <v>492</v>
      </c>
      <c r="C21" s="519">
        <v>0</v>
      </c>
      <c r="D21">
        <f>C21+1</f>
        <v>1</v>
      </c>
      <c r="E21">
        <f t="shared" ref="E21:I21" si="6">D21+1</f>
        <v>2</v>
      </c>
      <c r="F21">
        <f t="shared" si="6"/>
        <v>3</v>
      </c>
      <c r="G21">
        <f t="shared" si="6"/>
        <v>4</v>
      </c>
      <c r="H21">
        <f t="shared" si="6"/>
        <v>5</v>
      </c>
      <c r="I21">
        <f t="shared" si="6"/>
        <v>6</v>
      </c>
    </row>
    <row r="22" spans="2:10" x14ac:dyDescent="0.3">
      <c r="B22" s="518" t="s">
        <v>493</v>
      </c>
      <c r="C22" s="520">
        <v>9.7000000000000003E-2</v>
      </c>
      <c r="D22" s="160">
        <f>D18/(1+$C$22)^D21</f>
        <v>34684.109971691258</v>
      </c>
      <c r="E22" s="160">
        <f t="shared" ref="E22:I22" si="7">E18/(1+$C$22)^E21</f>
        <v>44553.964907918125</v>
      </c>
      <c r="F22" s="160">
        <f t="shared" si="7"/>
        <v>51590.894783503856</v>
      </c>
      <c r="G22" s="160">
        <f t="shared" si="7"/>
        <v>61157.38846377447</v>
      </c>
      <c r="H22" s="160">
        <f t="shared" si="7"/>
        <v>71086.659925089931</v>
      </c>
      <c r="I22" s="160">
        <f t="shared" si="7"/>
        <v>77446.79051447229</v>
      </c>
    </row>
    <row r="23" spans="2:10" x14ac:dyDescent="0.3">
      <c r="B23" t="s">
        <v>494</v>
      </c>
      <c r="C23" s="160"/>
      <c r="D23" s="521"/>
      <c r="E23" s="521"/>
      <c r="F23" s="521"/>
      <c r="G23" s="521"/>
      <c r="H23" s="521"/>
      <c r="I23" s="521"/>
      <c r="J23" s="160"/>
    </row>
    <row r="24" spans="2:10" x14ac:dyDescent="0.3">
      <c r="B24" t="s">
        <v>495</v>
      </c>
      <c r="C24" s="522">
        <f>SUM(D22:I22)</f>
        <v>340519.80856644991</v>
      </c>
    </row>
    <row r="25" spans="2:10" x14ac:dyDescent="0.3">
      <c r="B25" s="269" t="s">
        <v>496</v>
      </c>
      <c r="C25" s="523">
        <f>NPV(C22,D18:I18)</f>
        <v>340519.80856644991</v>
      </c>
      <c r="D25" s="524" t="str">
        <f>IF(C25=C24,"Check",-C25-C24)</f>
        <v>Check</v>
      </c>
      <c r="E25" s="269"/>
      <c r="F25" s="269"/>
      <c r="G25" s="269"/>
      <c r="H25" s="269"/>
      <c r="I25" s="269"/>
    </row>
    <row r="26" spans="2:10" x14ac:dyDescent="0.3">
      <c r="C26" s="160"/>
    </row>
    <row r="27" spans="2:10" ht="15.6" x14ac:dyDescent="0.3">
      <c r="B27" s="499" t="s">
        <v>497</v>
      </c>
      <c r="C27" s="160"/>
    </row>
    <row r="28" spans="2:10" ht="5.0999999999999996" customHeight="1" x14ac:dyDescent="0.3">
      <c r="B28" s="525"/>
      <c r="C28" s="526"/>
      <c r="D28" s="525"/>
      <c r="E28" s="525"/>
      <c r="F28" s="525"/>
      <c r="G28" s="525"/>
      <c r="H28" s="525"/>
      <c r="I28" s="525"/>
    </row>
    <row r="29" spans="2:10" ht="3" customHeight="1" x14ac:dyDescent="0.3"/>
    <row r="30" spans="2:10" x14ac:dyDescent="0.3">
      <c r="B30" s="10" t="s">
        <v>498</v>
      </c>
      <c r="C30" s="10"/>
      <c r="E30" s="10"/>
      <c r="F30" s="113" t="s">
        <v>499</v>
      </c>
      <c r="G30" s="113"/>
      <c r="H30" s="113"/>
      <c r="I30" s="113"/>
    </row>
    <row r="31" spans="2:10" x14ac:dyDescent="0.3">
      <c r="B31" t="s">
        <v>500</v>
      </c>
      <c r="C31" s="126">
        <f>I10</f>
        <v>193772.79674730671</v>
      </c>
      <c r="E31" s="10"/>
      <c r="F31" s="113" t="s">
        <v>501</v>
      </c>
      <c r="G31" s="113"/>
      <c r="H31" s="113"/>
      <c r="I31" s="113"/>
    </row>
    <row r="32" spans="2:10" x14ac:dyDescent="0.3">
      <c r="B32" t="s">
        <v>355</v>
      </c>
      <c r="C32" s="527">
        <v>28</v>
      </c>
      <c r="E32" s="528">
        <f>C45</f>
        <v>332747.37514027406</v>
      </c>
      <c r="F32" s="529">
        <v>22</v>
      </c>
      <c r="G32" s="530">
        <v>28</v>
      </c>
      <c r="H32" s="529">
        <v>30</v>
      </c>
      <c r="I32" s="529">
        <v>32</v>
      </c>
    </row>
    <row r="33" spans="2:9" x14ac:dyDescent="0.3">
      <c r="B33" t="s">
        <v>502</v>
      </c>
      <c r="C33" s="531">
        <f>C31*C32</f>
        <v>5425638.3089245874</v>
      </c>
      <c r="E33" s="532">
        <f>E34-0.005</f>
        <v>8.6999999999999994E-2</v>
      </c>
      <c r="F33" s="521">
        <f t="dataTable" ref="F33:I37" dt2D="1" dtr="1" r1="C32" r2="C34"/>
        <v>280825.48752775497</v>
      </c>
      <c r="G33" s="521">
        <v>350008.0859539294</v>
      </c>
      <c r="H33" s="521">
        <v>373068.95209598762</v>
      </c>
      <c r="I33" s="521">
        <v>396129.81823804579</v>
      </c>
    </row>
    <row r="34" spans="2:9" x14ac:dyDescent="0.3">
      <c r="B34" t="s">
        <v>503</v>
      </c>
      <c r="C34" s="533">
        <f>C93</f>
        <v>9.7000000000000003E-2</v>
      </c>
      <c r="E34" s="532">
        <f>E35-0.005</f>
        <v>9.1999999999999998E-2</v>
      </c>
      <c r="F34" s="521">
        <v>273935.83181931928</v>
      </c>
      <c r="G34" s="521">
        <v>341239.43323410215</v>
      </c>
      <c r="H34" s="521">
        <v>363673.96703902981</v>
      </c>
      <c r="I34" s="521">
        <v>386108.50084395742</v>
      </c>
    </row>
    <row r="35" spans="2:9" x14ac:dyDescent="0.3">
      <c r="B35" s="534" t="s">
        <v>504</v>
      </c>
      <c r="C35" s="535">
        <f>I21</f>
        <v>6</v>
      </c>
      <c r="E35" s="536">
        <v>9.7000000000000003E-2</v>
      </c>
      <c r="F35" s="521">
        <v>267263.5004598829</v>
      </c>
      <c r="G35" s="726">
        <v>332747.37514027406</v>
      </c>
      <c r="H35" s="521">
        <v>354575.33336707111</v>
      </c>
      <c r="I35" s="521">
        <v>376403.29159386817</v>
      </c>
    </row>
    <row r="36" spans="2:9" x14ac:dyDescent="0.3">
      <c r="B36" s="114" t="s">
        <v>505</v>
      </c>
      <c r="C36" s="531">
        <f>C33/(1+C34)^C35</f>
        <v>3113229.0440333495</v>
      </c>
      <c r="E36" s="532">
        <f>E35+0.0025</f>
        <v>9.9500000000000005E-2</v>
      </c>
      <c r="F36" s="521">
        <v>264006.38172175153</v>
      </c>
      <c r="G36" s="521">
        <v>328601.95129174326</v>
      </c>
      <c r="H36" s="521">
        <v>350133.80781507381</v>
      </c>
      <c r="I36" s="521">
        <v>371665.66433840437</v>
      </c>
    </row>
    <row r="37" spans="2:9" x14ac:dyDescent="0.3">
      <c r="B37" s="534" t="s">
        <v>494</v>
      </c>
      <c r="C37" s="537">
        <f>C24</f>
        <v>340519.80856644991</v>
      </c>
      <c r="E37" s="538">
        <f>E36+0.0025</f>
        <v>0.10200000000000001</v>
      </c>
      <c r="F37" s="727">
        <v>260800.69416196327</v>
      </c>
      <c r="G37" s="728">
        <v>324521.98530655814</v>
      </c>
      <c r="H37" s="728">
        <v>345762.41568808979</v>
      </c>
      <c r="I37" s="728">
        <v>367002.84606962145</v>
      </c>
    </row>
    <row r="38" spans="2:9" x14ac:dyDescent="0.3">
      <c r="B38" s="114" t="s">
        <v>506</v>
      </c>
      <c r="C38" s="531">
        <f>C36+C37</f>
        <v>3453748.8525997996</v>
      </c>
      <c r="D38" t="s">
        <v>596</v>
      </c>
      <c r="E38" s="539"/>
      <c r="F38" s="540"/>
      <c r="G38" s="539"/>
      <c r="H38" s="539"/>
      <c r="I38" s="539"/>
    </row>
    <row r="39" spans="2:9" x14ac:dyDescent="0.3">
      <c r="B39" t="s">
        <v>507</v>
      </c>
      <c r="C39" s="541">
        <f>C72</f>
        <v>124577</v>
      </c>
    </row>
    <row r="40" spans="2:9" x14ac:dyDescent="0.3">
      <c r="B40" t="s">
        <v>508</v>
      </c>
      <c r="C40" s="541">
        <f>AMZN!F33</f>
        <v>-60710</v>
      </c>
    </row>
    <row r="41" spans="2:9" x14ac:dyDescent="0.3">
      <c r="B41" t="s">
        <v>385</v>
      </c>
      <c r="C41" s="542">
        <f>AMZN!F32</f>
        <v>0</v>
      </c>
    </row>
    <row r="42" spans="2:9" x14ac:dyDescent="0.3">
      <c r="B42" s="114" t="s">
        <v>509</v>
      </c>
      <c r="C42" s="543">
        <f>SUM(C39:C41)</f>
        <v>63867</v>
      </c>
    </row>
    <row r="43" spans="2:9" x14ac:dyDescent="0.3">
      <c r="B43" s="534" t="s">
        <v>510</v>
      </c>
      <c r="C43" s="544">
        <f>C38-C42</f>
        <v>3389881.8525997996</v>
      </c>
    </row>
    <row r="44" spans="2:9" x14ac:dyDescent="0.3">
      <c r="B44" t="s">
        <v>511</v>
      </c>
      <c r="C44" s="545">
        <f>C70</f>
        <v>10.187554</v>
      </c>
    </row>
    <row r="45" spans="2:9" x14ac:dyDescent="0.3">
      <c r="B45" t="s">
        <v>512</v>
      </c>
      <c r="C45" s="732">
        <f>C43/C44</f>
        <v>332747.37514027406</v>
      </c>
    </row>
    <row r="46" spans="2:9" x14ac:dyDescent="0.3">
      <c r="C46" s="546"/>
    </row>
    <row r="49" spans="2:9" x14ac:dyDescent="0.3">
      <c r="B49" s="10" t="s">
        <v>513</v>
      </c>
      <c r="C49" s="10"/>
      <c r="E49" s="10"/>
      <c r="F49" s="113" t="s">
        <v>499</v>
      </c>
      <c r="G49" s="113"/>
      <c r="H49" s="113"/>
      <c r="I49" s="113"/>
    </row>
    <row r="50" spans="2:9" x14ac:dyDescent="0.3">
      <c r="B50" t="s">
        <v>491</v>
      </c>
      <c r="C50" s="528">
        <f>I18</f>
        <v>134971.84677879966</v>
      </c>
      <c r="E50" s="10"/>
      <c r="F50" s="113" t="s">
        <v>514</v>
      </c>
      <c r="G50" s="113"/>
      <c r="H50" s="113"/>
      <c r="I50" s="113"/>
    </row>
    <row r="51" spans="2:9" x14ac:dyDescent="0.3">
      <c r="B51" t="s">
        <v>515</v>
      </c>
      <c r="C51" s="547">
        <v>1.4999999999999999E-2</v>
      </c>
      <c r="E51" s="528">
        <f>C64</f>
        <v>121255.10789408408</v>
      </c>
      <c r="F51" s="548">
        <v>0.01</v>
      </c>
      <c r="G51" s="549">
        <v>1.4999999999999999E-2</v>
      </c>
      <c r="H51" s="548">
        <v>0.02</v>
      </c>
      <c r="I51" s="548">
        <v>2.5000000000000001E-2</v>
      </c>
    </row>
    <row r="52" spans="2:9" x14ac:dyDescent="0.3">
      <c r="B52" t="s">
        <v>502</v>
      </c>
      <c r="C52" s="531">
        <f>C50*(1+C51)/(C53-C51)</f>
        <v>1670688.1034205079</v>
      </c>
      <c r="E52" s="532">
        <f>E53-0.005</f>
        <v>8.9499999999999996E-2</v>
      </c>
      <c r="F52" s="521">
        <f t="dataTable" ref="F52:I56" dt2D="1" dtr="1" r1="C51" r2="C53"/>
        <v>127794.44815760171</v>
      </c>
      <c r="G52" s="521">
        <v>135080.35638311264</v>
      </c>
      <c r="H52" s="521">
        <v>143414.59672740215</v>
      </c>
      <c r="I52" s="521">
        <v>153040.96735762793</v>
      </c>
    </row>
    <row r="53" spans="2:9" x14ac:dyDescent="0.3">
      <c r="B53" t="s">
        <v>503</v>
      </c>
      <c r="C53" s="550">
        <f>C93</f>
        <v>9.7000000000000003E-2</v>
      </c>
      <c r="E53" s="532">
        <f>E54-0.0025</f>
        <v>9.4500000000000001E-2</v>
      </c>
      <c r="F53" s="521">
        <v>119273.71298119145</v>
      </c>
      <c r="G53" s="521">
        <v>125551.99187004477</v>
      </c>
      <c r="H53" s="521">
        <v>132672.99275740189</v>
      </c>
      <c r="I53" s="521">
        <v>140818.59808898304</v>
      </c>
    </row>
    <row r="54" spans="2:9" x14ac:dyDescent="0.3">
      <c r="B54" s="534" t="s">
        <v>504</v>
      </c>
      <c r="C54" s="535">
        <f>I21</f>
        <v>6</v>
      </c>
      <c r="E54" s="536">
        <v>9.7000000000000003E-2</v>
      </c>
      <c r="F54" s="521">
        <v>115410.20866538362</v>
      </c>
      <c r="G54" s="731">
        <v>121255.10789408408</v>
      </c>
      <c r="H54" s="521">
        <v>127859.08494469372</v>
      </c>
      <c r="I54" s="521">
        <v>135380.28103011017</v>
      </c>
    </row>
    <row r="55" spans="2:9" x14ac:dyDescent="0.3">
      <c r="B55" s="114" t="s">
        <v>505</v>
      </c>
      <c r="C55" s="123">
        <f>C52/(1+C53)^C54</f>
        <v>958640.15088035807</v>
      </c>
      <c r="E55" s="532">
        <f>E54+0.0025</f>
        <v>9.9500000000000005E-2</v>
      </c>
      <c r="F55" s="521">
        <v>111781.2563554503</v>
      </c>
      <c r="G55" s="521">
        <v>117232.39663204375</v>
      </c>
      <c r="H55" s="521">
        <v>123369.21493085023</v>
      </c>
      <c r="I55" s="521">
        <v>130329.76722949644</v>
      </c>
    </row>
    <row r="56" spans="2:9" x14ac:dyDescent="0.3">
      <c r="B56" s="534" t="s">
        <v>494</v>
      </c>
      <c r="C56" s="537">
        <f>C24</f>
        <v>340519.80856644991</v>
      </c>
      <c r="E56" s="538">
        <f>E55+0.0025</f>
        <v>0.10200000000000001</v>
      </c>
      <c r="F56" s="728">
        <v>108367.40642980109</v>
      </c>
      <c r="G56" s="728">
        <v>113459.87336983088</v>
      </c>
      <c r="H56" s="728">
        <v>119173.37286352288</v>
      </c>
      <c r="I56" s="728">
        <v>125628.88527847351</v>
      </c>
    </row>
    <row r="57" spans="2:9" x14ac:dyDescent="0.3">
      <c r="B57" s="114" t="s">
        <v>506</v>
      </c>
      <c r="C57" s="123">
        <f>C55+C56</f>
        <v>1299159.9594468079</v>
      </c>
    </row>
    <row r="58" spans="2:9" x14ac:dyDescent="0.3">
      <c r="B58" t="s">
        <v>507</v>
      </c>
      <c r="C58" s="541">
        <f>C39</f>
        <v>124577</v>
      </c>
    </row>
    <row r="59" spans="2:9" x14ac:dyDescent="0.3">
      <c r="B59" t="s">
        <v>508</v>
      </c>
      <c r="C59" s="541">
        <f>C40</f>
        <v>-60710</v>
      </c>
    </row>
    <row r="60" spans="2:9" x14ac:dyDescent="0.3">
      <c r="B60" s="269" t="s">
        <v>385</v>
      </c>
      <c r="C60" s="542">
        <f>C41</f>
        <v>0</v>
      </c>
    </row>
    <row r="61" spans="2:9" x14ac:dyDescent="0.3">
      <c r="B61" s="114" t="s">
        <v>509</v>
      </c>
      <c r="C61" s="543">
        <f>SUM(C58:C60)</f>
        <v>63867</v>
      </c>
    </row>
    <row r="62" spans="2:9" x14ac:dyDescent="0.3">
      <c r="B62" s="551" t="s">
        <v>510</v>
      </c>
      <c r="C62" s="544">
        <f>C57-C61</f>
        <v>1235292.9594468079</v>
      </c>
    </row>
    <row r="63" spans="2:9" x14ac:dyDescent="0.3">
      <c r="B63" t="s">
        <v>511</v>
      </c>
      <c r="C63" s="545">
        <f>C70</f>
        <v>10.187554</v>
      </c>
    </row>
    <row r="64" spans="2:9" x14ac:dyDescent="0.3">
      <c r="B64" t="s">
        <v>512</v>
      </c>
      <c r="C64" s="732">
        <f>C62/C63</f>
        <v>121255.10789408408</v>
      </c>
    </row>
    <row r="68" spans="2:6" x14ac:dyDescent="0.3">
      <c r="B68" s="10" t="s">
        <v>516</v>
      </c>
      <c r="C68" s="500"/>
    </row>
    <row r="69" spans="2:6" x14ac:dyDescent="0.3">
      <c r="B69" t="s">
        <v>517</v>
      </c>
      <c r="C69" s="552">
        <f>AMZN!F21</f>
        <v>142.57</v>
      </c>
    </row>
    <row r="70" spans="2:6" x14ac:dyDescent="0.3">
      <c r="B70" s="534" t="s">
        <v>518</v>
      </c>
      <c r="C70" s="716">
        <f>AMZN!F24</f>
        <v>10.187554</v>
      </c>
    </row>
    <row r="71" spans="2:6" x14ac:dyDescent="0.3">
      <c r="B71" s="114" t="s">
        <v>519</v>
      </c>
      <c r="C71" s="553">
        <f>C69*C70</f>
        <v>1452.43957378</v>
      </c>
    </row>
    <row r="72" spans="2:6" x14ac:dyDescent="0.3">
      <c r="B72" t="s">
        <v>507</v>
      </c>
      <c r="C72" s="554">
        <f>SUM(AMZN!F28:F29)</f>
        <v>124577</v>
      </c>
    </row>
    <row r="73" spans="2:6" x14ac:dyDescent="0.3">
      <c r="B73" t="s">
        <v>508</v>
      </c>
      <c r="C73" s="555">
        <f>AMZN!F33</f>
        <v>-60710</v>
      </c>
    </row>
    <row r="74" spans="2:6" x14ac:dyDescent="0.3">
      <c r="B74" s="534" t="s">
        <v>385</v>
      </c>
      <c r="C74" s="556">
        <f>AMZN!F32</f>
        <v>0</v>
      </c>
    </row>
    <row r="75" spans="2:6" x14ac:dyDescent="0.3">
      <c r="B75" s="114" t="s">
        <v>388</v>
      </c>
      <c r="C75" s="553">
        <f>SUM(C71:C74)</f>
        <v>65319.439573779993</v>
      </c>
    </row>
    <row r="76" spans="2:6" x14ac:dyDescent="0.3">
      <c r="C76" s="557"/>
      <c r="E76" s="558" t="s">
        <v>520</v>
      </c>
    </row>
    <row r="77" spans="2:6" x14ac:dyDescent="0.3">
      <c r="B77" t="s">
        <v>521</v>
      </c>
      <c r="C77" s="559">
        <f>C71</f>
        <v>1452.43957378</v>
      </c>
      <c r="E77" s="560">
        <f>C77/C79</f>
        <v>1.1524605510363432E-2</v>
      </c>
      <c r="F77" t="s">
        <v>598</v>
      </c>
    </row>
    <row r="78" spans="2:6" x14ac:dyDescent="0.3">
      <c r="B78" s="534" t="s">
        <v>522</v>
      </c>
      <c r="C78" s="561">
        <f>C72</f>
        <v>124577</v>
      </c>
      <c r="E78" s="562">
        <f>C78/C79</f>
        <v>0.98847539448963662</v>
      </c>
      <c r="F78" t="s">
        <v>597</v>
      </c>
    </row>
    <row r="79" spans="2:6" x14ac:dyDescent="0.3">
      <c r="B79" s="563" t="s">
        <v>523</v>
      </c>
      <c r="C79" s="564">
        <f>SUM(C77:C78)</f>
        <v>126029.43957377999</v>
      </c>
      <c r="E79" s="565">
        <f>SUM(E77:E78)</f>
        <v>1</v>
      </c>
    </row>
    <row r="80" spans="2:6" x14ac:dyDescent="0.3">
      <c r="C80" s="566"/>
      <c r="E80" s="566"/>
    </row>
    <row r="81" spans="2:9" ht="15" thickBot="1" x14ac:dyDescent="0.35">
      <c r="C81" s="566"/>
      <c r="E81" s="566"/>
    </row>
    <row r="82" spans="2:9" x14ac:dyDescent="0.3">
      <c r="B82" s="10" t="s">
        <v>524</v>
      </c>
      <c r="C82" s="567"/>
      <c r="E82" s="717" t="s">
        <v>525</v>
      </c>
    </row>
    <row r="83" spans="2:9" ht="15" thickBot="1" x14ac:dyDescent="0.35">
      <c r="B83" t="s">
        <v>526</v>
      </c>
      <c r="C83" s="568">
        <v>2.9700000000000001E-2</v>
      </c>
      <c r="E83" s="718" t="s">
        <v>527</v>
      </c>
    </row>
    <row r="84" spans="2:9" ht="15" thickBot="1" x14ac:dyDescent="0.35">
      <c r="B84" t="s">
        <v>528</v>
      </c>
      <c r="C84" s="569">
        <f>E84-C83</f>
        <v>5.5300000000000002E-2</v>
      </c>
      <c r="E84" s="719">
        <v>8.5000000000000006E-2</v>
      </c>
    </row>
    <row r="85" spans="2:9" x14ac:dyDescent="0.3">
      <c r="B85" s="534" t="s">
        <v>529</v>
      </c>
      <c r="C85" s="570">
        <f>'Comparable Trading analysis'!U20</f>
        <v>1.3622222222222224</v>
      </c>
    </row>
    <row r="86" spans="2:9" x14ac:dyDescent="0.3">
      <c r="B86" s="114" t="s">
        <v>530</v>
      </c>
      <c r="C86" s="571">
        <f>C83+C84*C85</f>
        <v>0.10503088888888891</v>
      </c>
      <c r="D86" s="268" t="s">
        <v>599</v>
      </c>
    </row>
    <row r="87" spans="2:9" x14ac:dyDescent="0.3">
      <c r="C87" s="572"/>
      <c r="D87" t="s">
        <v>600</v>
      </c>
    </row>
    <row r="88" spans="2:9" x14ac:dyDescent="0.3">
      <c r="B88" t="s">
        <v>531</v>
      </c>
      <c r="C88" s="573">
        <f>D3</f>
        <v>0.12833333333333333</v>
      </c>
    </row>
    <row r="89" spans="2:9" x14ac:dyDescent="0.3">
      <c r="B89" t="s">
        <v>532</v>
      </c>
      <c r="C89" s="576">
        <f>'Financial model'!G210</f>
        <v>0.03</v>
      </c>
    </row>
    <row r="90" spans="2:9" x14ac:dyDescent="0.3">
      <c r="B90" s="534" t="s">
        <v>533</v>
      </c>
      <c r="C90" s="577"/>
    </row>
    <row r="91" spans="2:9" x14ac:dyDescent="0.3">
      <c r="B91" s="563" t="s">
        <v>12</v>
      </c>
      <c r="C91" s="720">
        <f>E77*C86+E78*C89*(1-C88)</f>
        <v>2.7059071126751256E-2</v>
      </c>
    </row>
    <row r="93" spans="2:9" x14ac:dyDescent="0.3">
      <c r="B93" s="114" t="s">
        <v>534</v>
      </c>
      <c r="C93" s="574">
        <v>9.7000000000000003E-2</v>
      </c>
    </row>
    <row r="94" spans="2:9" ht="15" thickBot="1" x14ac:dyDescent="0.35">
      <c r="B94" s="575"/>
      <c r="C94" s="575"/>
      <c r="D94" s="575"/>
      <c r="E94" s="575"/>
      <c r="F94" s="575"/>
      <c r="G94" s="575"/>
      <c r="H94" s="575"/>
      <c r="I94" s="575"/>
    </row>
    <row r="95" spans="2:9" ht="15" thickTop="1" x14ac:dyDescent="0.3"/>
    <row r="98" spans="2:2" hidden="1" outlineLevel="1" x14ac:dyDescent="0.3">
      <c r="B98" s="152" t="s">
        <v>530</v>
      </c>
    </row>
    <row r="99" spans="2:2" hidden="1" outlineLevel="1" x14ac:dyDescent="0.3">
      <c r="B99" t="s">
        <v>559</v>
      </c>
    </row>
    <row r="100" spans="2:2" hidden="1" outlineLevel="1" x14ac:dyDescent="0.3">
      <c r="B100" s="152" t="s">
        <v>12</v>
      </c>
    </row>
    <row r="101" spans="2:2" hidden="1" outlineLevel="1" x14ac:dyDescent="0.3">
      <c r="B101" t="s">
        <v>560</v>
      </c>
    </row>
    <row r="102" spans="2:2" collapsed="1" x14ac:dyDescent="0.3"/>
  </sheetData>
  <sheetProtection algorithmName="SHA-512" hashValue="3WJYt5j98ifsdfYslPLkvQpaq03c9pJ+S5TgNftqNAK7FRsOAGjH6Up7I1/VwexD6l5T50aIeD3O2mG5bsnl7A==" saltValue="j1TBcbfz7fZpZ1k943jM4g==" spinCount="100000" sheet="1" objects="1" scenarios="1"/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66FF"/>
  </sheetPr>
  <dimension ref="B1:P34"/>
  <sheetViews>
    <sheetView showGridLines="0" zoomScale="115" zoomScaleNormal="115" workbookViewId="0">
      <selection activeCell="D5" sqref="D5"/>
    </sheetView>
  </sheetViews>
  <sheetFormatPr defaultRowHeight="14.4" x14ac:dyDescent="0.3"/>
  <cols>
    <col min="3" max="3" width="6.33203125" customWidth="1"/>
    <col min="4" max="4" width="2.6640625" customWidth="1"/>
    <col min="5" max="5" width="27.6640625" bestFit="1" customWidth="1"/>
    <col min="6" max="6" width="12.6640625" bestFit="1" customWidth="1"/>
    <col min="7" max="7" width="16.77734375" customWidth="1"/>
    <col min="8" max="8" width="16.33203125" bestFit="1" customWidth="1"/>
    <col min="9" max="9" width="11.5546875" bestFit="1" customWidth="1"/>
  </cols>
  <sheetData>
    <row r="1" spans="2:11" x14ac:dyDescent="0.3">
      <c r="G1" s="578"/>
    </row>
    <row r="2" spans="2:11" x14ac:dyDescent="0.3">
      <c r="E2" s="721" t="s">
        <v>602</v>
      </c>
      <c r="F2" s="114"/>
      <c r="G2" s="745">
        <f>'Financial model'!F4</f>
        <v>1</v>
      </c>
      <c r="H2" s="114"/>
    </row>
    <row r="3" spans="2:11" x14ac:dyDescent="0.3">
      <c r="E3" s="722" t="str">
        <f>CHOOSE(G2,Scenarios!C21,Scenarios!C32,Scenarios!C43)</f>
        <v>Wall Street Case</v>
      </c>
      <c r="G3" s="579" t="s">
        <v>601</v>
      </c>
    </row>
    <row r="4" spans="2:11" ht="32.4" x14ac:dyDescent="0.6">
      <c r="E4" s="580" t="s">
        <v>535</v>
      </c>
      <c r="F4" s="581"/>
      <c r="G4" s="581"/>
      <c r="H4" s="581"/>
    </row>
    <row r="5" spans="2:11" ht="15" customHeight="1" x14ac:dyDescent="0.3">
      <c r="E5" s="582" t="s">
        <v>536</v>
      </c>
      <c r="F5" s="583" t="s">
        <v>403</v>
      </c>
      <c r="G5" s="583" t="s">
        <v>537</v>
      </c>
      <c r="H5" s="583" t="s">
        <v>404</v>
      </c>
    </row>
    <row r="6" spans="2:11" x14ac:dyDescent="0.3">
      <c r="E6" s="584" t="s">
        <v>538</v>
      </c>
      <c r="F6" s="585">
        <v>101.26</v>
      </c>
      <c r="G6" s="586">
        <f t="shared" ref="G6:G11" si="0">H6-F6</f>
        <v>15.14</v>
      </c>
      <c r="H6" s="585">
        <v>116.4</v>
      </c>
      <c r="K6" s="268"/>
    </row>
    <row r="7" spans="2:11" ht="30" customHeight="1" x14ac:dyDescent="0.3">
      <c r="B7" s="587" t="s">
        <v>539</v>
      </c>
      <c r="C7" s="587"/>
      <c r="D7" s="588"/>
      <c r="E7" s="589" t="s">
        <v>540</v>
      </c>
      <c r="F7" s="737">
        <f>'Comp Valuation'!J28</f>
        <v>102241.20529815106</v>
      </c>
      <c r="G7" s="738">
        <f t="shared" si="0"/>
        <v>52465.213926718803</v>
      </c>
      <c r="H7" s="737">
        <f>'Comp Valuation'!L28</f>
        <v>154706.41922486987</v>
      </c>
      <c r="K7" s="268"/>
    </row>
    <row r="8" spans="2:11" ht="30" customHeight="1" x14ac:dyDescent="0.3">
      <c r="B8" s="591" t="s">
        <v>541</v>
      </c>
      <c r="C8" s="587"/>
      <c r="D8" s="588"/>
      <c r="E8" s="589" t="s">
        <v>542</v>
      </c>
      <c r="F8" s="737">
        <f>'Comp Valuation'!J16</f>
        <v>75405.283741318082</v>
      </c>
      <c r="G8" s="738">
        <f t="shared" si="0"/>
        <v>80892.587170580882</v>
      </c>
      <c r="H8" s="737">
        <f>'Comp Valuation'!L16</f>
        <v>156297.87091189896</v>
      </c>
    </row>
    <row r="9" spans="2:11" ht="30" customHeight="1" x14ac:dyDescent="0.3">
      <c r="B9" s="587"/>
      <c r="C9" s="587"/>
      <c r="D9" s="588"/>
      <c r="E9" s="589" t="s">
        <v>543</v>
      </c>
      <c r="F9" s="590">
        <f>'Comp Valuation'!J40</f>
        <v>116.79</v>
      </c>
      <c r="G9" s="738">
        <f t="shared" si="0"/>
        <v>38.929999999999993</v>
      </c>
      <c r="H9" s="590">
        <f>'Comp Valuation'!L40</f>
        <v>155.72</v>
      </c>
    </row>
    <row r="10" spans="2:11" ht="49.95" customHeight="1" x14ac:dyDescent="0.3">
      <c r="E10" s="589" t="s">
        <v>544</v>
      </c>
      <c r="F10" s="737">
        <f>'DCF Analysis'!L9</f>
        <v>108367.40642980109</v>
      </c>
      <c r="G10" s="738">
        <f t="shared" si="0"/>
        <v>44673.560927826838</v>
      </c>
      <c r="H10" s="737">
        <f>'DCF Analysis'!M9</f>
        <v>153040.96735762793</v>
      </c>
    </row>
    <row r="11" spans="2:11" ht="49.95" customHeight="1" x14ac:dyDescent="0.3">
      <c r="E11" s="589" t="s">
        <v>545</v>
      </c>
      <c r="F11" s="737">
        <f>'DCF Analysis'!L8</f>
        <v>260800.69416196327</v>
      </c>
      <c r="G11" s="738">
        <f t="shared" si="0"/>
        <v>135329.12407608252</v>
      </c>
      <c r="H11" s="737">
        <f>'DCF Analysis'!M8</f>
        <v>396129.81823804579</v>
      </c>
    </row>
    <row r="12" spans="2:11" x14ac:dyDescent="0.3">
      <c r="F12" s="592"/>
      <c r="G12" s="739"/>
      <c r="H12" s="592"/>
    </row>
    <row r="13" spans="2:11" x14ac:dyDescent="0.3">
      <c r="E13" s="525" t="s">
        <v>338</v>
      </c>
      <c r="F13" s="740">
        <f>AVERAGE(F10:F11,F7:F8)</f>
        <v>136703.64740780837</v>
      </c>
      <c r="G13" s="740"/>
      <c r="H13" s="740">
        <f>AVERAGE(H10:H11,H7:H8)</f>
        <v>215043.76893311064</v>
      </c>
      <c r="I13" s="521"/>
    </row>
    <row r="14" spans="2:11" x14ac:dyDescent="0.3">
      <c r="E14" s="525" t="s">
        <v>274</v>
      </c>
      <c r="F14" s="740">
        <f>MEDIAN(F10:F11,F7:F8)</f>
        <v>105304.30586397607</v>
      </c>
      <c r="G14" s="740"/>
      <c r="H14" s="740">
        <f>MEDIAN(H10:H11,H7:H8)</f>
        <v>155502.14506838442</v>
      </c>
    </row>
    <row r="15" spans="2:11" x14ac:dyDescent="0.3">
      <c r="F15" s="593"/>
      <c r="G15" s="593"/>
      <c r="H15" s="593"/>
    </row>
    <row r="16" spans="2:11" x14ac:dyDescent="0.3">
      <c r="E16" t="s">
        <v>546</v>
      </c>
      <c r="F16" s="614"/>
      <c r="H16" s="614"/>
    </row>
    <row r="17" spans="5:16" x14ac:dyDescent="0.3">
      <c r="E17" t="s">
        <v>547</v>
      </c>
      <c r="F17" s="590">
        <f>AMZN!F21</f>
        <v>142.57</v>
      </c>
      <c r="G17" s="593"/>
      <c r="H17" s="593"/>
    </row>
    <row r="18" spans="5:16" x14ac:dyDescent="0.3">
      <c r="E18" s="594" t="s">
        <v>548</v>
      </c>
      <c r="F18" s="595"/>
      <c r="G18" s="596"/>
      <c r="H18" s="597"/>
    </row>
    <row r="19" spans="5:16" x14ac:dyDescent="0.3">
      <c r="L19" s="113" t="s">
        <v>604</v>
      </c>
      <c r="M19" s="113"/>
      <c r="N19" s="113"/>
      <c r="O19" s="113"/>
      <c r="P19" s="113"/>
    </row>
    <row r="20" spans="5:16" x14ac:dyDescent="0.3">
      <c r="E20" s="114" t="s">
        <v>549</v>
      </c>
      <c r="F20" s="598"/>
      <c r="H20" s="599" t="s">
        <v>301</v>
      </c>
      <c r="I20" s="599" t="s">
        <v>549</v>
      </c>
      <c r="J20" t="s">
        <v>550</v>
      </c>
    </row>
    <row r="21" spans="5:16" x14ac:dyDescent="0.3">
      <c r="E21" s="269" t="s">
        <v>372</v>
      </c>
      <c r="F21" s="600"/>
      <c r="H21" s="525" t="s">
        <v>551</v>
      </c>
      <c r="I21" s="601">
        <v>215.04400000000001</v>
      </c>
      <c r="J21" s="602">
        <f>I21/$F$17-1</f>
        <v>0.50833976292347627</v>
      </c>
    </row>
    <row r="22" spans="5:16" x14ac:dyDescent="0.3">
      <c r="E22" s="114" t="s">
        <v>519</v>
      </c>
      <c r="F22" s="603"/>
      <c r="H22" s="604" t="s">
        <v>552</v>
      </c>
      <c r="I22" s="605">
        <v>112.44799999999999</v>
      </c>
      <c r="J22" s="602">
        <f>I22/$F$17-1</f>
        <v>-0.21127867012695523</v>
      </c>
    </row>
    <row r="23" spans="5:16" x14ac:dyDescent="0.3">
      <c r="E23" s="269" t="s">
        <v>553</v>
      </c>
      <c r="F23" s="606"/>
      <c r="H23" s="607" t="s">
        <v>260</v>
      </c>
      <c r="I23" s="608">
        <v>259.12700000000001</v>
      </c>
      <c r="J23" s="602">
        <f>I23/$F$17-1</f>
        <v>0.81754225994248464</v>
      </c>
    </row>
    <row r="24" spans="5:16" x14ac:dyDescent="0.3">
      <c r="E24" s="114" t="s">
        <v>554</v>
      </c>
      <c r="F24" s="508"/>
    </row>
    <row r="25" spans="5:16" x14ac:dyDescent="0.3">
      <c r="E25" t="s">
        <v>555</v>
      </c>
      <c r="F25" s="609"/>
    </row>
    <row r="26" spans="5:16" x14ac:dyDescent="0.3">
      <c r="E26" t="s">
        <v>556</v>
      </c>
      <c r="F26" s="615"/>
    </row>
    <row r="27" spans="5:16" x14ac:dyDescent="0.3">
      <c r="F27" s="610"/>
    </row>
    <row r="28" spans="5:16" x14ac:dyDescent="0.3">
      <c r="E28" t="s">
        <v>557</v>
      </c>
      <c r="F28" s="611"/>
    </row>
    <row r="29" spans="5:16" x14ac:dyDescent="0.3">
      <c r="E29" t="s">
        <v>558</v>
      </c>
      <c r="F29" s="612"/>
    </row>
    <row r="30" spans="5:16" x14ac:dyDescent="0.3">
      <c r="F30" s="611"/>
    </row>
    <row r="32" spans="5:16" x14ac:dyDescent="0.3">
      <c r="F32" s="116"/>
      <c r="G32" s="613"/>
    </row>
    <row r="33" spans="6:7" x14ac:dyDescent="0.3">
      <c r="F33" s="116"/>
      <c r="G33" s="613"/>
    </row>
    <row r="34" spans="6:7" x14ac:dyDescent="0.3">
      <c r="F34" s="116"/>
      <c r="G34" s="61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C16"/>
  <sheetViews>
    <sheetView showGridLines="0" view="pageBreakPreview" zoomScale="190" zoomScaleNormal="175" zoomScaleSheetLayoutView="190" workbookViewId="0">
      <selection activeCell="D5" sqref="D5"/>
    </sheetView>
  </sheetViews>
  <sheetFormatPr defaultRowHeight="14.4" x14ac:dyDescent="0.3"/>
  <cols>
    <col min="2" max="2" width="3" bestFit="1" customWidth="1"/>
    <col min="3" max="3" width="58.109375" bestFit="1" customWidth="1"/>
    <col min="4" max="4" width="1.44140625" customWidth="1"/>
  </cols>
  <sheetData>
    <row r="3" spans="2:3" x14ac:dyDescent="0.3">
      <c r="C3" s="10" t="s">
        <v>0</v>
      </c>
    </row>
    <row r="4" spans="2:3" x14ac:dyDescent="0.3">
      <c r="B4">
        <v>1</v>
      </c>
      <c r="C4" s="4" t="s">
        <v>20</v>
      </c>
    </row>
    <row r="5" spans="2:3" x14ac:dyDescent="0.3">
      <c r="B5">
        <f>B4+1</f>
        <v>2</v>
      </c>
      <c r="C5" s="4" t="s">
        <v>22</v>
      </c>
    </row>
    <row r="6" spans="2:3" x14ac:dyDescent="0.3">
      <c r="B6">
        <f t="shared" ref="B6:B16" si="0">B5+1</f>
        <v>3</v>
      </c>
      <c r="C6" s="4" t="s">
        <v>21</v>
      </c>
    </row>
    <row r="7" spans="2:3" x14ac:dyDescent="0.3">
      <c r="B7">
        <f t="shared" si="0"/>
        <v>4</v>
      </c>
      <c r="C7" s="4" t="s">
        <v>1</v>
      </c>
    </row>
    <row r="8" spans="2:3" x14ac:dyDescent="0.3">
      <c r="B8">
        <f t="shared" si="0"/>
        <v>5</v>
      </c>
      <c r="C8" s="4" t="s">
        <v>2</v>
      </c>
    </row>
    <row r="9" spans="2:3" x14ac:dyDescent="0.3">
      <c r="B9">
        <f t="shared" si="0"/>
        <v>6</v>
      </c>
      <c r="C9" s="4" t="s">
        <v>18</v>
      </c>
    </row>
    <row r="10" spans="2:3" x14ac:dyDescent="0.3">
      <c r="B10">
        <f t="shared" si="0"/>
        <v>7</v>
      </c>
      <c r="C10" s="4" t="s">
        <v>19</v>
      </c>
    </row>
    <row r="11" spans="2:3" x14ac:dyDescent="0.3">
      <c r="B11">
        <f t="shared" si="0"/>
        <v>8</v>
      </c>
      <c r="C11" s="4" t="s">
        <v>3</v>
      </c>
    </row>
    <row r="12" spans="2:3" x14ac:dyDescent="0.3">
      <c r="B12">
        <f t="shared" si="0"/>
        <v>9</v>
      </c>
      <c r="C12" s="4" t="s">
        <v>4</v>
      </c>
    </row>
    <row r="13" spans="2:3" x14ac:dyDescent="0.3">
      <c r="B13">
        <f t="shared" si="0"/>
        <v>10</v>
      </c>
      <c r="C13" s="4" t="s">
        <v>5</v>
      </c>
    </row>
    <row r="14" spans="2:3" x14ac:dyDescent="0.3">
      <c r="B14">
        <f t="shared" si="0"/>
        <v>11</v>
      </c>
      <c r="C14" s="4" t="s">
        <v>6</v>
      </c>
    </row>
    <row r="15" spans="2:3" x14ac:dyDescent="0.3">
      <c r="B15">
        <f t="shared" si="0"/>
        <v>12</v>
      </c>
      <c r="C15" s="4" t="s">
        <v>8</v>
      </c>
    </row>
    <row r="16" spans="2:3" x14ac:dyDescent="0.3">
      <c r="B16">
        <f t="shared" si="0"/>
        <v>13</v>
      </c>
      <c r="C16" s="620" t="s">
        <v>7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C4:J17"/>
  <sheetViews>
    <sheetView showGridLines="0" zoomScale="145" zoomScaleNormal="145" zoomScaleSheetLayoutView="175" workbookViewId="0">
      <selection activeCell="D5" sqref="D5"/>
    </sheetView>
  </sheetViews>
  <sheetFormatPr defaultColWidth="9.109375" defaultRowHeight="13.8" x14ac:dyDescent="0.25"/>
  <cols>
    <col min="1" max="1" width="9.109375" style="140"/>
    <col min="2" max="2" width="0.109375" style="140" customWidth="1"/>
    <col min="3" max="3" width="39" style="140" bestFit="1" customWidth="1"/>
    <col min="4" max="4" width="7.88671875" style="140" bestFit="1" customWidth="1"/>
    <col min="5" max="5" width="9.109375" style="140"/>
    <col min="6" max="6" width="16.88671875" style="140" bestFit="1" customWidth="1"/>
    <col min="7" max="16384" width="9.109375" style="140"/>
  </cols>
  <sheetData>
    <row r="4" spans="3:10" ht="12" customHeight="1" x14ac:dyDescent="0.25">
      <c r="C4" s="16" t="s">
        <v>300</v>
      </c>
      <c r="D4" s="230" t="s">
        <v>298</v>
      </c>
      <c r="E4" s="230">
        <v>2019</v>
      </c>
      <c r="F4" s="142" t="s">
        <v>299</v>
      </c>
      <c r="G4" s="47"/>
      <c r="I4" s="37"/>
      <c r="J4" s="227"/>
    </row>
    <row r="5" spans="3:10" ht="12" customHeight="1" x14ac:dyDescent="0.25">
      <c r="C5" s="26" t="s">
        <v>286</v>
      </c>
      <c r="D5" s="228">
        <v>3.3000000000000002E-2</v>
      </c>
      <c r="E5" s="29">
        <v>1000</v>
      </c>
      <c r="F5" s="229">
        <f>E5*D5</f>
        <v>33</v>
      </c>
      <c r="G5" s="47"/>
      <c r="I5" s="29"/>
      <c r="J5" s="227"/>
    </row>
    <row r="6" spans="3:10" ht="12" customHeight="1" x14ac:dyDescent="0.25">
      <c r="C6" s="26" t="s">
        <v>287</v>
      </c>
      <c r="D6" s="228">
        <v>2.5000000000000001E-2</v>
      </c>
      <c r="E6" s="29">
        <v>1250</v>
      </c>
      <c r="F6" s="229">
        <f t="shared" ref="F6:F16" si="0">E6*D6</f>
        <v>31.25</v>
      </c>
      <c r="G6" s="47"/>
      <c r="I6" s="29"/>
      <c r="J6" s="227"/>
    </row>
    <row r="7" spans="3:10" ht="12" customHeight="1" x14ac:dyDescent="0.25">
      <c r="C7" s="26" t="s">
        <v>288</v>
      </c>
      <c r="D7" s="228">
        <v>2.4E-2</v>
      </c>
      <c r="E7" s="29">
        <v>1000</v>
      </c>
      <c r="F7" s="229">
        <f t="shared" si="0"/>
        <v>24</v>
      </c>
      <c r="G7" s="47"/>
      <c r="I7" s="29"/>
      <c r="J7" s="227"/>
    </row>
    <row r="8" spans="3:10" ht="12" customHeight="1" x14ac:dyDescent="0.25">
      <c r="C8" s="26" t="s">
        <v>289</v>
      </c>
      <c r="D8" s="228">
        <v>2.8000000000000001E-2</v>
      </c>
      <c r="E8" s="29">
        <v>2000</v>
      </c>
      <c r="F8" s="229">
        <f t="shared" si="0"/>
        <v>56</v>
      </c>
      <c r="G8" s="47"/>
      <c r="I8" s="29"/>
      <c r="J8" s="227"/>
    </row>
    <row r="9" spans="3:10" ht="12" customHeight="1" x14ac:dyDescent="0.25">
      <c r="C9" s="26" t="s">
        <v>290</v>
      </c>
      <c r="D9" s="228">
        <v>3.7999999999999999E-2</v>
      </c>
      <c r="E9" s="29">
        <v>1250</v>
      </c>
      <c r="F9" s="229">
        <f t="shared" si="0"/>
        <v>47.5</v>
      </c>
      <c r="G9" s="47"/>
      <c r="I9" s="29"/>
      <c r="J9" s="227"/>
    </row>
    <row r="10" spans="3:10" ht="12" customHeight="1" x14ac:dyDescent="0.25">
      <c r="C10" s="26" t="s">
        <v>291</v>
      </c>
      <c r="D10" s="228">
        <v>5.1999999999999998E-2</v>
      </c>
      <c r="E10" s="29">
        <v>1000</v>
      </c>
      <c r="F10" s="229">
        <f t="shared" si="0"/>
        <v>52</v>
      </c>
      <c r="G10" s="47"/>
      <c r="I10" s="29"/>
      <c r="J10" s="227"/>
    </row>
    <row r="11" spans="3:10" ht="12" customHeight="1" x14ac:dyDescent="0.25">
      <c r="C11" s="26" t="s">
        <v>292</v>
      </c>
      <c r="D11" s="228">
        <v>3.15E-2</v>
      </c>
      <c r="E11" s="29">
        <v>3500</v>
      </c>
      <c r="F11" s="229">
        <f t="shared" si="0"/>
        <v>110.25</v>
      </c>
      <c r="G11" s="47"/>
      <c r="I11" s="29"/>
      <c r="J11" s="227"/>
    </row>
    <row r="12" spans="3:10" ht="12" customHeight="1" x14ac:dyDescent="0.25">
      <c r="C12" s="26" t="s">
        <v>293</v>
      </c>
      <c r="D12" s="228">
        <v>4.8000000000000001E-2</v>
      </c>
      <c r="E12" s="29">
        <v>1250</v>
      </c>
      <c r="F12" s="229">
        <f t="shared" si="0"/>
        <v>60</v>
      </c>
      <c r="G12" s="47"/>
      <c r="I12" s="29"/>
      <c r="J12" s="227"/>
    </row>
    <row r="13" spans="3:10" ht="12" customHeight="1" x14ac:dyDescent="0.25">
      <c r="C13" s="26" t="s">
        <v>294</v>
      </c>
      <c r="D13" s="228">
        <v>3.875E-2</v>
      </c>
      <c r="E13" s="29">
        <v>2750</v>
      </c>
      <c r="F13" s="229">
        <f t="shared" si="0"/>
        <v>106.5625</v>
      </c>
      <c r="G13" s="47"/>
      <c r="I13" s="29"/>
      <c r="J13" s="227"/>
    </row>
    <row r="14" spans="3:10" ht="12" customHeight="1" x14ac:dyDescent="0.25">
      <c r="C14" s="26" t="s">
        <v>295</v>
      </c>
      <c r="D14" s="228">
        <v>4.9500000000000002E-2</v>
      </c>
      <c r="E14" s="29">
        <v>1500</v>
      </c>
      <c r="F14" s="229">
        <f t="shared" si="0"/>
        <v>74.25</v>
      </c>
      <c r="G14" s="47"/>
      <c r="I14" s="29"/>
      <c r="J14" s="227"/>
    </row>
    <row r="15" spans="3:10" ht="12" customHeight="1" x14ac:dyDescent="0.25">
      <c r="C15" s="26" t="s">
        <v>296</v>
      </c>
      <c r="D15" s="228">
        <v>4.0500000000000001E-2</v>
      </c>
      <c r="E15" s="29">
        <v>3500</v>
      </c>
      <c r="F15" s="229">
        <f t="shared" si="0"/>
        <v>141.75</v>
      </c>
      <c r="G15" s="47"/>
      <c r="I15" s="29"/>
      <c r="J15" s="227"/>
    </row>
    <row r="16" spans="3:10" ht="12" customHeight="1" x14ac:dyDescent="0.25">
      <c r="C16" s="26" t="s">
        <v>297</v>
      </c>
      <c r="D16" s="228">
        <v>4.2500000000000003E-2</v>
      </c>
      <c r="E16" s="29">
        <v>2250</v>
      </c>
      <c r="F16" s="229">
        <f t="shared" si="0"/>
        <v>95.625</v>
      </c>
      <c r="G16" s="47"/>
      <c r="I16" s="29"/>
      <c r="J16" s="227"/>
    </row>
    <row r="17" spans="3:10" ht="12" customHeight="1" x14ac:dyDescent="0.25">
      <c r="C17" s="647"/>
      <c r="D17" s="648">
        <f>F17/E17</f>
        <v>3.740168539325843E-2</v>
      </c>
      <c r="E17" s="649">
        <f>SUM(E5:E16)</f>
        <v>22250</v>
      </c>
      <c r="F17" s="650">
        <f>SUM(F5:F16)</f>
        <v>832.1875</v>
      </c>
      <c r="G17" s="47"/>
      <c r="I17" s="29"/>
      <c r="J17" s="227"/>
    </row>
  </sheetData>
  <sheetProtection algorithmName="SHA-512" hashValue="459wIS9eX6yZKHcW9oXKR66GdPsh2tOm1vgphiX6EvhKeWoDv12mURD6zhpSe/3UL47e0pylNJ8lS1n2M69aIg==" saltValue="i2bhH8LIGcJl54q0iExSnQ==" spinCount="100000" sheet="1" objects="1" scenarios="1"/>
  <pageMargins left="0.7" right="0.7" top="0.75" bottom="0.75" header="0.3" footer="0.3"/>
  <pageSetup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C3:N244"/>
  <sheetViews>
    <sheetView showGridLines="0" zoomScaleNormal="100" zoomScaleSheetLayoutView="130" workbookViewId="0">
      <pane xSplit="3" ySplit="8" topLeftCell="E96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defaultColWidth="8.88671875" defaultRowHeight="15" customHeight="1" outlineLevelRow="1" x14ac:dyDescent="0.25"/>
  <cols>
    <col min="1" max="1" width="8.88671875" style="11"/>
    <col min="2" max="2" width="1.109375" style="11" customWidth="1"/>
    <col min="3" max="3" width="38.33203125" style="11" customWidth="1"/>
    <col min="4" max="12" width="15.6640625" style="11" customWidth="1"/>
    <col min="13" max="13" width="1.44140625" style="11" customWidth="1"/>
    <col min="14" max="16384" width="8.88671875" style="11"/>
  </cols>
  <sheetData>
    <row r="3" spans="3:12" ht="15" customHeight="1" x14ac:dyDescent="0.25">
      <c r="F3" s="188" t="s">
        <v>301</v>
      </c>
    </row>
    <row r="4" spans="3:12" ht="15" customHeight="1" x14ac:dyDescent="0.25">
      <c r="F4" s="242">
        <v>1</v>
      </c>
    </row>
    <row r="5" spans="3:12" ht="15" customHeight="1" x14ac:dyDescent="0.25">
      <c r="C5" s="12" t="s">
        <v>75</v>
      </c>
      <c r="F5" s="188" t="s">
        <v>603</v>
      </c>
    </row>
    <row r="6" spans="3:12" ht="15" customHeight="1" x14ac:dyDescent="0.25">
      <c r="C6" s="11" t="s">
        <v>74</v>
      </c>
    </row>
    <row r="7" spans="3:12" ht="15" customHeight="1" x14ac:dyDescent="0.25">
      <c r="C7" s="13"/>
      <c r="D7" s="14" t="s">
        <v>73</v>
      </c>
      <c r="E7" s="14"/>
      <c r="F7" s="14"/>
      <c r="G7" s="14" t="s">
        <v>30</v>
      </c>
      <c r="H7" s="15"/>
      <c r="I7" s="15"/>
      <c r="J7" s="15"/>
      <c r="K7" s="15"/>
      <c r="L7" s="15"/>
    </row>
    <row r="8" spans="3:12" ht="15" customHeight="1" x14ac:dyDescent="0.25">
      <c r="C8" s="16"/>
      <c r="D8" s="17">
        <v>2019</v>
      </c>
      <c r="E8" s="17">
        <v>2020</v>
      </c>
      <c r="F8" s="17">
        <v>2021</v>
      </c>
      <c r="G8" s="18">
        <f t="shared" ref="G8:L8" si="0">F8+1</f>
        <v>2022</v>
      </c>
      <c r="H8" s="18">
        <f t="shared" si="0"/>
        <v>2023</v>
      </c>
      <c r="I8" s="18">
        <f t="shared" si="0"/>
        <v>2024</v>
      </c>
      <c r="J8" s="18">
        <f t="shared" si="0"/>
        <v>2025</v>
      </c>
      <c r="K8" s="18">
        <f t="shared" si="0"/>
        <v>2026</v>
      </c>
      <c r="L8" s="18">
        <f t="shared" si="0"/>
        <v>2027</v>
      </c>
    </row>
    <row r="9" spans="3:12" ht="15" customHeight="1" x14ac:dyDescent="0.25">
      <c r="C9" s="19" t="s">
        <v>31</v>
      </c>
      <c r="D9" s="20">
        <v>160408</v>
      </c>
      <c r="E9" s="20">
        <v>215915</v>
      </c>
      <c r="F9" s="21">
        <v>241787</v>
      </c>
      <c r="G9" s="104">
        <f>'Revenue breakdown'!G11</f>
        <v>285920.58199275471</v>
      </c>
      <c r="H9" s="104">
        <f>'Revenue breakdown'!H11</f>
        <v>336533.93742523761</v>
      </c>
      <c r="I9" s="104">
        <f>'Revenue breakdown'!I11</f>
        <v>388474.5373737287</v>
      </c>
      <c r="J9" s="104">
        <f>'Revenue breakdown'!J11</f>
        <v>450630.46335352527</v>
      </c>
      <c r="K9" s="104">
        <f>'Revenue breakdown'!K11</f>
        <v>522731.33749008924</v>
      </c>
      <c r="L9" s="104">
        <f>'Revenue breakdown'!L11</f>
        <v>606368.35148850339</v>
      </c>
    </row>
    <row r="10" spans="3:12" ht="15" customHeight="1" x14ac:dyDescent="0.25">
      <c r="C10" s="22" t="s">
        <v>32</v>
      </c>
      <c r="D10" s="23">
        <v>120114</v>
      </c>
      <c r="E10" s="23">
        <v>170149</v>
      </c>
      <c r="F10" s="24">
        <v>228035</v>
      </c>
      <c r="G10" s="170">
        <f>'Revenue breakdown'!G12</f>
        <v>269658.41800724529</v>
      </c>
      <c r="H10" s="170">
        <f>'Revenue breakdown'!H12</f>
        <v>317393.06257476239</v>
      </c>
      <c r="I10" s="170">
        <f>'Revenue breakdown'!I12</f>
        <v>366379.46262627118</v>
      </c>
      <c r="J10" s="170">
        <f>'Revenue breakdown'!J12</f>
        <v>425000.17664647452</v>
      </c>
      <c r="K10" s="170">
        <f>'Revenue breakdown'!K12</f>
        <v>493000.20490991045</v>
      </c>
      <c r="L10" s="170">
        <f>'Revenue breakdown'!L12</f>
        <v>571880.23769549606</v>
      </c>
    </row>
    <row r="11" spans="3:12" ht="15" customHeight="1" x14ac:dyDescent="0.25">
      <c r="C11" s="26" t="s">
        <v>565</v>
      </c>
      <c r="D11" s="27">
        <f>D9+D10</f>
        <v>280522</v>
      </c>
      <c r="E11" s="27">
        <f>E9+E10</f>
        <v>386064</v>
      </c>
      <c r="F11" s="28">
        <f>F9+F10</f>
        <v>469822</v>
      </c>
      <c r="G11" s="27">
        <f>G9+G10</f>
        <v>555579</v>
      </c>
      <c r="H11" s="27">
        <f t="shared" ref="H11:L11" si="1">H9+H10</f>
        <v>653927</v>
      </c>
      <c r="I11" s="27">
        <f t="shared" si="1"/>
        <v>754853.99999999988</v>
      </c>
      <c r="J11" s="27">
        <f t="shared" si="1"/>
        <v>875630.63999999978</v>
      </c>
      <c r="K11" s="27">
        <f t="shared" si="1"/>
        <v>1015731.5423999997</v>
      </c>
      <c r="L11" s="27">
        <f t="shared" si="1"/>
        <v>1178248.5891839995</v>
      </c>
    </row>
    <row r="12" spans="3:12" ht="15" customHeight="1" x14ac:dyDescent="0.25">
      <c r="C12" s="22" t="s">
        <v>33</v>
      </c>
      <c r="D12" s="23">
        <v>-165536</v>
      </c>
      <c r="E12" s="23">
        <v>-233307</v>
      </c>
      <c r="F12" s="24">
        <v>-272344</v>
      </c>
      <c r="G12" s="172">
        <f t="shared" ref="G12:L12" si="2">-G11*G53</f>
        <v>-327791.61</v>
      </c>
      <c r="H12" s="172">
        <f t="shared" si="2"/>
        <v>-382547.29499999998</v>
      </c>
      <c r="I12" s="172">
        <f t="shared" si="2"/>
        <v>-440079.88199999993</v>
      </c>
      <c r="J12" s="172">
        <f t="shared" si="2"/>
        <v>-507865.77119999984</v>
      </c>
      <c r="K12" s="172">
        <f t="shared" si="2"/>
        <v>-587092.83150719979</v>
      </c>
      <c r="L12" s="172">
        <f t="shared" si="2"/>
        <v>-677492.93878079962</v>
      </c>
    </row>
    <row r="13" spans="3:12" ht="15" customHeight="1" x14ac:dyDescent="0.25">
      <c r="C13" s="30" t="s">
        <v>76</v>
      </c>
      <c r="D13" s="31">
        <f>D11+D12</f>
        <v>114986</v>
      </c>
      <c r="E13" s="31">
        <f>E11+E12</f>
        <v>152757</v>
      </c>
      <c r="F13" s="32">
        <f>F11+F12</f>
        <v>197478</v>
      </c>
      <c r="G13" s="31">
        <f>G11+G12</f>
        <v>227787.39</v>
      </c>
      <c r="H13" s="31">
        <f t="shared" ref="H13:L13" si="3">H11+H12</f>
        <v>271379.70500000002</v>
      </c>
      <c r="I13" s="31">
        <f t="shared" si="3"/>
        <v>314774.11799999996</v>
      </c>
      <c r="J13" s="31">
        <f t="shared" si="3"/>
        <v>367764.86879999994</v>
      </c>
      <c r="K13" s="31">
        <f t="shared" si="3"/>
        <v>428638.71089279989</v>
      </c>
      <c r="L13" s="31">
        <f t="shared" si="3"/>
        <v>500755.65040319983</v>
      </c>
    </row>
    <row r="14" spans="3:12" ht="1.95" customHeight="1" x14ac:dyDescent="0.25">
      <c r="C14" s="26"/>
      <c r="D14" s="27"/>
      <c r="E14" s="27"/>
      <c r="F14" s="28"/>
      <c r="G14" s="29"/>
      <c r="H14" s="29"/>
      <c r="I14" s="29"/>
      <c r="J14" s="29"/>
      <c r="K14" s="29"/>
      <c r="L14" s="29"/>
    </row>
    <row r="15" spans="3:12" ht="15" customHeight="1" x14ac:dyDescent="0.25">
      <c r="C15" s="19" t="s">
        <v>34</v>
      </c>
      <c r="D15" s="33">
        <v>-40232</v>
      </c>
      <c r="E15" s="33">
        <v>-58517</v>
      </c>
      <c r="F15" s="34">
        <v>-75111</v>
      </c>
      <c r="G15" s="173">
        <f t="shared" ref="G15:L15" si="4">-G11*G55</f>
        <v>-88892.64</v>
      </c>
      <c r="H15" s="173">
        <f t="shared" si="4"/>
        <v>-103320.466</v>
      </c>
      <c r="I15" s="173">
        <f t="shared" si="4"/>
        <v>-117002.36999999998</v>
      </c>
      <c r="J15" s="173">
        <f t="shared" si="4"/>
        <v>-133095.85727999997</v>
      </c>
      <c r="K15" s="173">
        <f t="shared" si="4"/>
        <v>-150328.26827519995</v>
      </c>
      <c r="L15" s="173">
        <f t="shared" si="4"/>
        <v>-170846.0454316799</v>
      </c>
    </row>
    <row r="16" spans="3:12" ht="15" customHeight="1" x14ac:dyDescent="0.25">
      <c r="C16" s="19" t="s">
        <v>35</v>
      </c>
      <c r="D16" s="33">
        <v>-35931</v>
      </c>
      <c r="E16" s="33">
        <v>-42740</v>
      </c>
      <c r="F16" s="34">
        <v>-56052</v>
      </c>
      <c r="G16" s="173">
        <f t="shared" ref="G16:L16" si="5">-G11*G56</f>
        <v>-67780.637999999992</v>
      </c>
      <c r="H16" s="173">
        <f t="shared" si="5"/>
        <v>-78471.239999999991</v>
      </c>
      <c r="I16" s="173">
        <f t="shared" si="5"/>
        <v>-89072.771999999983</v>
      </c>
      <c r="J16" s="173">
        <f t="shared" si="5"/>
        <v>-103324.41551999997</v>
      </c>
      <c r="K16" s="173">
        <f t="shared" si="5"/>
        <v>-117824.85891839997</v>
      </c>
      <c r="L16" s="173">
        <f t="shared" si="5"/>
        <v>-136676.83634534394</v>
      </c>
    </row>
    <row r="17" spans="3:12" ht="15" customHeight="1" x14ac:dyDescent="0.25">
      <c r="C17" s="19" t="s">
        <v>36</v>
      </c>
      <c r="D17" s="33">
        <v>-18878</v>
      </c>
      <c r="E17" s="33">
        <v>-22008</v>
      </c>
      <c r="F17" s="34">
        <v>-32551</v>
      </c>
      <c r="G17" s="173">
        <f t="shared" ref="G17:L17" si="6">-G57*G11</f>
        <v>-40001.687999999995</v>
      </c>
      <c r="H17" s="173">
        <f t="shared" si="6"/>
        <v>-45774.890000000007</v>
      </c>
      <c r="I17" s="173">
        <f t="shared" si="6"/>
        <v>-51330.071999999993</v>
      </c>
      <c r="J17" s="173">
        <f t="shared" si="6"/>
        <v>-56915.991599999987</v>
      </c>
      <c r="K17" s="173">
        <f t="shared" si="6"/>
        <v>-60943.89254399998</v>
      </c>
      <c r="L17" s="173">
        <f t="shared" si="6"/>
        <v>-70694.915351039963</v>
      </c>
    </row>
    <row r="18" spans="3:12" ht="15" customHeight="1" x14ac:dyDescent="0.25">
      <c r="C18" s="19" t="s">
        <v>37</v>
      </c>
      <c r="D18" s="33">
        <v>-5203</v>
      </c>
      <c r="E18" s="33">
        <v>-6668</v>
      </c>
      <c r="F18" s="34">
        <v>-8823</v>
      </c>
      <c r="G18" s="173">
        <f t="shared" ref="G18:L18" si="7">-G58*G11</f>
        <v>-11667.159000000001</v>
      </c>
      <c r="H18" s="173">
        <f t="shared" si="7"/>
        <v>-12424.612999999999</v>
      </c>
      <c r="I18" s="173">
        <f t="shared" si="7"/>
        <v>-14342.225999999997</v>
      </c>
      <c r="J18" s="173">
        <f t="shared" si="7"/>
        <v>-16636.982159999996</v>
      </c>
      <c r="K18" s="173">
        <f t="shared" si="7"/>
        <v>-19298.899305599993</v>
      </c>
      <c r="L18" s="173">
        <f t="shared" si="7"/>
        <v>-22386.723194495989</v>
      </c>
    </row>
    <row r="19" spans="3:12" ht="15" customHeight="1" x14ac:dyDescent="0.25">
      <c r="C19" s="22" t="s">
        <v>38</v>
      </c>
      <c r="D19" s="23">
        <v>-201</v>
      </c>
      <c r="E19" s="23">
        <v>-75</v>
      </c>
      <c r="F19" s="24">
        <v>-62</v>
      </c>
      <c r="G19" s="172">
        <f t="shared" ref="G19:L19" si="8">-G59*G11</f>
        <v>0</v>
      </c>
      <c r="H19" s="172">
        <f t="shared" si="8"/>
        <v>0</v>
      </c>
      <c r="I19" s="172">
        <f t="shared" si="8"/>
        <v>0</v>
      </c>
      <c r="J19" s="172">
        <f t="shared" si="8"/>
        <v>0</v>
      </c>
      <c r="K19" s="172">
        <f t="shared" si="8"/>
        <v>0</v>
      </c>
      <c r="L19" s="172">
        <f t="shared" si="8"/>
        <v>0</v>
      </c>
    </row>
    <row r="20" spans="3:12" ht="15" customHeight="1" x14ac:dyDescent="0.25">
      <c r="C20" s="19" t="s">
        <v>39</v>
      </c>
      <c r="D20" s="35">
        <f>SUM(D15:D19)</f>
        <v>-100445</v>
      </c>
      <c r="E20" s="35">
        <f>SUM(E15:E19)</f>
        <v>-130008</v>
      </c>
      <c r="F20" s="36">
        <f>SUM(F15:F19)</f>
        <v>-172599</v>
      </c>
      <c r="G20" s="35">
        <f>SUM(G15:G19)</f>
        <v>-208342.125</v>
      </c>
      <c r="H20" s="35">
        <f t="shared" ref="H20:L20" si="9">SUM(H15:H19)</f>
        <v>-239991.20900000003</v>
      </c>
      <c r="I20" s="35">
        <f t="shared" si="9"/>
        <v>-271747.43999999994</v>
      </c>
      <c r="J20" s="35">
        <f t="shared" si="9"/>
        <v>-309973.24655999994</v>
      </c>
      <c r="K20" s="35">
        <f t="shared" si="9"/>
        <v>-348395.91904319992</v>
      </c>
      <c r="L20" s="35">
        <f t="shared" si="9"/>
        <v>-400604.52032255981</v>
      </c>
    </row>
    <row r="21" spans="3:12" ht="15" customHeight="1" x14ac:dyDescent="0.25">
      <c r="C21" s="30" t="s">
        <v>77</v>
      </c>
      <c r="D21" s="31">
        <f>D13+D20</f>
        <v>14541</v>
      </c>
      <c r="E21" s="31">
        <f>E13+E20</f>
        <v>22749</v>
      </c>
      <c r="F21" s="32">
        <f>F13+F20</f>
        <v>24879</v>
      </c>
      <c r="G21" s="31">
        <f>G13+G20</f>
        <v>19445.265000000014</v>
      </c>
      <c r="H21" s="31">
        <f t="shared" ref="H21:L21" si="10">H13+H20</f>
        <v>31388.495999999985</v>
      </c>
      <c r="I21" s="31">
        <f t="shared" si="10"/>
        <v>43026.678000000014</v>
      </c>
      <c r="J21" s="31">
        <f t="shared" si="10"/>
        <v>57791.622239999997</v>
      </c>
      <c r="K21" s="31">
        <f t="shared" si="10"/>
        <v>80242.791849599977</v>
      </c>
      <c r="L21" s="31">
        <f t="shared" si="10"/>
        <v>100151.13008064002</v>
      </c>
    </row>
    <row r="22" spans="3:12" ht="1.95" customHeight="1" x14ac:dyDescent="0.25">
      <c r="C22" s="26"/>
      <c r="D22" s="33"/>
      <c r="E22" s="33"/>
      <c r="F22" s="34"/>
      <c r="G22" s="29"/>
      <c r="H22" s="29"/>
      <c r="I22" s="29"/>
      <c r="J22" s="29"/>
      <c r="K22" s="29"/>
      <c r="L22" s="29"/>
    </row>
    <row r="23" spans="3:12" ht="15" customHeight="1" x14ac:dyDescent="0.25">
      <c r="C23" s="19" t="s">
        <v>40</v>
      </c>
      <c r="D23" s="33">
        <v>832</v>
      </c>
      <c r="E23" s="33">
        <v>555</v>
      </c>
      <c r="F23" s="34">
        <v>448</v>
      </c>
      <c r="G23" s="173">
        <f t="shared" ref="G23:L23" ca="1" si="11">G238</f>
        <v>646.95092892299624</v>
      </c>
      <c r="H23" s="173">
        <f t="shared" ca="1" si="11"/>
        <v>918.46510545927367</v>
      </c>
      <c r="I23" s="173">
        <f t="shared" ca="1" si="11"/>
        <v>1296.5838343394714</v>
      </c>
      <c r="J23" s="173">
        <f t="shared" ca="1" si="11"/>
        <v>1803.3494157290436</v>
      </c>
      <c r="K23" s="173">
        <f t="shared" ca="1" si="11"/>
        <v>2481.8322860195817</v>
      </c>
      <c r="L23" s="173">
        <f t="shared" ca="1" si="11"/>
        <v>3244.3235215492232</v>
      </c>
    </row>
    <row r="24" spans="3:12" ht="15" customHeight="1" x14ac:dyDescent="0.25">
      <c r="C24" s="19" t="s">
        <v>41</v>
      </c>
      <c r="D24" s="33">
        <v>-1600</v>
      </c>
      <c r="E24" s="33">
        <v>-1647</v>
      </c>
      <c r="F24" s="34">
        <v>-1809</v>
      </c>
      <c r="G24" s="173">
        <f t="shared" ref="G24:L24" ca="1" si="12">-(+G211+G219+G228)</f>
        <v>-2218.1873946629212</v>
      </c>
      <c r="H24" s="173">
        <f t="shared" ca="1" si="12"/>
        <v>-2122.6920365168544</v>
      </c>
      <c r="I24" s="173">
        <f t="shared" ca="1" si="12"/>
        <v>-1945.587191011236</v>
      </c>
      <c r="J24" s="173">
        <f t="shared" ca="1" si="12"/>
        <v>-1786.9804494382024</v>
      </c>
      <c r="K24" s="173">
        <f t="shared" ca="1" si="12"/>
        <v>-1283.4762359550564</v>
      </c>
      <c r="L24" s="173">
        <f t="shared" ca="1" si="12"/>
        <v>-616.024459269663</v>
      </c>
    </row>
    <row r="25" spans="3:12" ht="15" customHeight="1" x14ac:dyDescent="0.25">
      <c r="C25" s="22" t="s">
        <v>42</v>
      </c>
      <c r="D25" s="23">
        <v>203</v>
      </c>
      <c r="E25" s="23">
        <v>2371</v>
      </c>
      <c r="F25" s="24">
        <v>14633</v>
      </c>
      <c r="G25" s="172">
        <v>0</v>
      </c>
      <c r="H25" s="172">
        <v>0</v>
      </c>
      <c r="I25" s="172">
        <v>0</v>
      </c>
      <c r="J25" s="172">
        <v>0</v>
      </c>
      <c r="K25" s="172">
        <v>0</v>
      </c>
      <c r="L25" s="172">
        <v>0</v>
      </c>
    </row>
    <row r="26" spans="3:12" ht="15" customHeight="1" x14ac:dyDescent="0.25">
      <c r="C26" s="26" t="s">
        <v>78</v>
      </c>
      <c r="D26" s="38">
        <f t="shared" ref="D26:L26" si="13">SUM(D23:D25)</f>
        <v>-565</v>
      </c>
      <c r="E26" s="38">
        <f t="shared" si="13"/>
        <v>1279</v>
      </c>
      <c r="F26" s="39">
        <f t="shared" si="13"/>
        <v>13272</v>
      </c>
      <c r="G26" s="38">
        <f t="shared" ca="1" si="13"/>
        <v>-1571.2364657399248</v>
      </c>
      <c r="H26" s="38">
        <f t="shared" ca="1" si="13"/>
        <v>-1204.2269310575807</v>
      </c>
      <c r="I26" s="38">
        <f t="shared" ca="1" si="13"/>
        <v>-649.00335667176455</v>
      </c>
      <c r="J26" s="38">
        <f t="shared" ca="1" si="13"/>
        <v>16.368966290841172</v>
      </c>
      <c r="K26" s="38">
        <f t="shared" ca="1" si="13"/>
        <v>1198.3560500645253</v>
      </c>
      <c r="L26" s="38">
        <f t="shared" ca="1" si="13"/>
        <v>2628.2990622795601</v>
      </c>
    </row>
    <row r="27" spans="3:12" ht="1.95" customHeight="1" x14ac:dyDescent="0.25">
      <c r="C27" s="26"/>
      <c r="D27" s="33"/>
      <c r="E27" s="33"/>
      <c r="F27" s="34"/>
      <c r="G27" s="37"/>
      <c r="H27" s="37"/>
      <c r="I27" s="37"/>
      <c r="J27" s="37"/>
      <c r="K27" s="37"/>
      <c r="L27" s="37"/>
    </row>
    <row r="28" spans="3:12" ht="15" customHeight="1" x14ac:dyDescent="0.25">
      <c r="C28" s="19" t="s">
        <v>43</v>
      </c>
      <c r="D28" s="27">
        <f t="shared" ref="D28:L28" si="14">D21+D26</f>
        <v>13976</v>
      </c>
      <c r="E28" s="27">
        <f t="shared" si="14"/>
        <v>24028</v>
      </c>
      <c r="F28" s="28">
        <f t="shared" si="14"/>
        <v>38151</v>
      </c>
      <c r="G28" s="27">
        <f t="shared" ca="1" si="14"/>
        <v>17874.028534260091</v>
      </c>
      <c r="H28" s="27">
        <f t="shared" ca="1" si="14"/>
        <v>30184.269068942405</v>
      </c>
      <c r="I28" s="27">
        <f t="shared" ca="1" si="14"/>
        <v>42377.674643328253</v>
      </c>
      <c r="J28" s="27">
        <f t="shared" ca="1" si="14"/>
        <v>57807.991206290841</v>
      </c>
      <c r="K28" s="27">
        <f t="shared" ca="1" si="14"/>
        <v>81441.147899664502</v>
      </c>
      <c r="L28" s="27">
        <f t="shared" ca="1" si="14"/>
        <v>102779.42914291959</v>
      </c>
    </row>
    <row r="29" spans="3:12" ht="15" customHeight="1" x14ac:dyDescent="0.25">
      <c r="C29" s="19" t="s">
        <v>82</v>
      </c>
      <c r="D29" s="33">
        <v>-2374</v>
      </c>
      <c r="E29" s="33">
        <v>-2863</v>
      </c>
      <c r="F29" s="34">
        <v>-4791</v>
      </c>
      <c r="G29" s="173">
        <f t="shared" ref="G29:L29" ca="1" si="15">-G28*G62</f>
        <v>-2323.6237094538119</v>
      </c>
      <c r="H29" s="173">
        <f t="shared" ca="1" si="15"/>
        <v>-3923.954978962513</v>
      </c>
      <c r="I29" s="173">
        <f t="shared" ca="1" si="15"/>
        <v>-5509.0977036326731</v>
      </c>
      <c r="J29" s="173">
        <f t="shared" ca="1" si="15"/>
        <v>-7399.422874405228</v>
      </c>
      <c r="K29" s="173">
        <f t="shared" ca="1" si="15"/>
        <v>-10261.584635357727</v>
      </c>
      <c r="L29" s="173">
        <f t="shared" ca="1" si="15"/>
        <v>-12950.208072007868</v>
      </c>
    </row>
    <row r="30" spans="3:12" ht="15" customHeight="1" x14ac:dyDescent="0.25">
      <c r="C30" s="22" t="s">
        <v>44</v>
      </c>
      <c r="D30" s="23">
        <v>-14</v>
      </c>
      <c r="E30" s="23">
        <v>16</v>
      </c>
      <c r="F30" s="24">
        <v>4</v>
      </c>
      <c r="G30" s="265">
        <v>0</v>
      </c>
      <c r="H30" s="265">
        <v>0</v>
      </c>
      <c r="I30" s="265">
        <v>0</v>
      </c>
      <c r="J30" s="265">
        <v>0</v>
      </c>
      <c r="K30" s="265">
        <v>0</v>
      </c>
      <c r="L30" s="265">
        <v>0</v>
      </c>
    </row>
    <row r="31" spans="3:12" ht="15" customHeight="1" x14ac:dyDescent="0.25">
      <c r="C31" s="30" t="s">
        <v>45</v>
      </c>
      <c r="D31" s="31">
        <f t="shared" ref="D31:L31" si="16">D28+D29+D30</f>
        <v>11588</v>
      </c>
      <c r="E31" s="31">
        <f t="shared" si="16"/>
        <v>21181</v>
      </c>
      <c r="F31" s="40">
        <f t="shared" si="16"/>
        <v>33364</v>
      </c>
      <c r="G31" s="31">
        <f t="shared" ca="1" si="16"/>
        <v>15550.404824806279</v>
      </c>
      <c r="H31" s="31">
        <f t="shared" ca="1" si="16"/>
        <v>26260.314089979893</v>
      </c>
      <c r="I31" s="31">
        <f t="shared" ca="1" si="16"/>
        <v>36868.57693969558</v>
      </c>
      <c r="J31" s="31">
        <f t="shared" ca="1" si="16"/>
        <v>50408.56833188561</v>
      </c>
      <c r="K31" s="31">
        <f t="shared" ca="1" si="16"/>
        <v>71179.56326430678</v>
      </c>
      <c r="L31" s="31">
        <f t="shared" ca="1" si="16"/>
        <v>89829.221070911721</v>
      </c>
    </row>
    <row r="32" spans="3:12" ht="15" customHeight="1" x14ac:dyDescent="0.25">
      <c r="C32" s="30"/>
      <c r="D32" s="31"/>
      <c r="E32" s="31"/>
      <c r="F32" s="32"/>
    </row>
    <row r="33" spans="3:12" ht="15" customHeight="1" x14ac:dyDescent="0.25">
      <c r="C33" s="19" t="s">
        <v>46</v>
      </c>
      <c r="D33" s="41">
        <f t="shared" ref="D33:L33" si="17">D31/D38</f>
        <v>23.457489878542511</v>
      </c>
      <c r="E33" s="41">
        <f t="shared" si="17"/>
        <v>42.362000000000002</v>
      </c>
      <c r="F33" s="42">
        <f t="shared" si="17"/>
        <v>65.936758893280626</v>
      </c>
      <c r="G33" s="169">
        <f t="shared" ca="1" si="17"/>
        <v>30.732025345466955</v>
      </c>
      <c r="H33" s="169">
        <f t="shared" ca="1" si="17"/>
        <v>51.897853932766587</v>
      </c>
      <c r="I33" s="169">
        <f t="shared" ca="1" si="17"/>
        <v>72.862800276078218</v>
      </c>
      <c r="J33" s="169">
        <f t="shared" ca="1" si="17"/>
        <v>99.621676545228482</v>
      </c>
      <c r="K33" s="169">
        <f t="shared" ca="1" si="17"/>
        <v>140.67107364487507</v>
      </c>
      <c r="L33" s="169">
        <f t="shared" ca="1" si="17"/>
        <v>177.52810488322476</v>
      </c>
    </row>
    <row r="34" spans="3:12" ht="15" customHeight="1" x14ac:dyDescent="0.25">
      <c r="C34" s="19" t="s">
        <v>47</v>
      </c>
      <c r="D34" s="41">
        <f>D31/D40</f>
        <v>22.99206349206349</v>
      </c>
      <c r="E34" s="43">
        <v>20.14</v>
      </c>
      <c r="F34" s="44">
        <v>23.01</v>
      </c>
      <c r="G34" s="249">
        <f t="shared" ref="G34:L34" ca="1" si="18">G31/G40</f>
        <v>30.194960824866563</v>
      </c>
      <c r="H34" s="249">
        <f t="shared" ca="1" si="18"/>
        <v>50.990901145592026</v>
      </c>
      <c r="I34" s="249">
        <f t="shared" ca="1" si="18"/>
        <v>71.589469785816661</v>
      </c>
      <c r="J34" s="249">
        <f t="shared" ca="1" si="18"/>
        <v>97.880715207544867</v>
      </c>
      <c r="K34" s="249">
        <f t="shared" ca="1" si="18"/>
        <v>138.21274420253744</v>
      </c>
      <c r="L34" s="169">
        <f t="shared" ca="1" si="18"/>
        <v>174.42567198235287</v>
      </c>
    </row>
    <row r="35" spans="3:12" ht="15" customHeight="1" x14ac:dyDescent="0.25">
      <c r="C35" s="246" t="s">
        <v>302</v>
      </c>
      <c r="D35" s="247"/>
      <c r="E35" s="247"/>
      <c r="F35" s="248"/>
      <c r="G35" s="250">
        <f>'Wall Street estimates'!D37</f>
        <v>18.28</v>
      </c>
      <c r="H35" s="250">
        <f>'Wall Street estimates'!E37</f>
        <v>36.56</v>
      </c>
      <c r="I35" s="250">
        <f>'Wall Street estimates'!F37</f>
        <v>52.49</v>
      </c>
      <c r="J35" s="250">
        <f>'Wall Street estimates'!G37</f>
        <v>74.08</v>
      </c>
      <c r="K35" s="250">
        <f>'Wall Street estimates'!H37</f>
        <v>96.23</v>
      </c>
      <c r="L35" s="169"/>
    </row>
    <row r="36" spans="3:12" ht="15" customHeight="1" x14ac:dyDescent="0.25">
      <c r="C36" s="469" t="s">
        <v>427</v>
      </c>
      <c r="D36" s="247"/>
      <c r="E36" s="247"/>
      <c r="F36" s="248"/>
      <c r="G36" s="468">
        <f ca="1">G34/F34-1</f>
        <v>0.31225383854265809</v>
      </c>
      <c r="H36" s="468">
        <f t="shared" ref="H36:L36" ca="1" si="19">H34/G34-1</f>
        <v>0.68872221564862279</v>
      </c>
      <c r="I36" s="468">
        <f t="shared" ca="1" si="19"/>
        <v>0.40396557380718701</v>
      </c>
      <c r="J36" s="468">
        <f t="shared" ca="1" si="19"/>
        <v>0.3672501766026075</v>
      </c>
      <c r="K36" s="468">
        <f t="shared" ca="1" si="19"/>
        <v>0.41205286362561933</v>
      </c>
      <c r="L36" s="468">
        <f t="shared" ca="1" si="19"/>
        <v>0.2620086012238414</v>
      </c>
    </row>
    <row r="37" spans="3:12" ht="15" customHeight="1" x14ac:dyDescent="0.25">
      <c r="C37" s="26" t="s">
        <v>79</v>
      </c>
      <c r="D37" s="45"/>
      <c r="E37" s="45"/>
      <c r="F37" s="46"/>
      <c r="G37" s="47"/>
      <c r="H37" s="47"/>
      <c r="I37" s="47"/>
      <c r="J37" s="47"/>
      <c r="K37" s="47"/>
      <c r="L37" s="47"/>
    </row>
    <row r="38" spans="3:12" ht="15" customHeight="1" x14ac:dyDescent="0.25">
      <c r="C38" s="19" t="s">
        <v>48</v>
      </c>
      <c r="D38" s="33">
        <v>494</v>
      </c>
      <c r="E38" s="33">
        <v>500</v>
      </c>
      <c r="F38" s="34">
        <v>506</v>
      </c>
      <c r="G38" s="174">
        <f>G178</f>
        <v>506</v>
      </c>
      <c r="H38" s="174">
        <f t="shared" ref="H38:L38" si="20">H178</f>
        <v>506</v>
      </c>
      <c r="I38" s="174">
        <f t="shared" si="20"/>
        <v>506</v>
      </c>
      <c r="J38" s="174">
        <f t="shared" si="20"/>
        <v>506</v>
      </c>
      <c r="K38" s="174">
        <f t="shared" si="20"/>
        <v>506</v>
      </c>
      <c r="L38" s="174">
        <f t="shared" si="20"/>
        <v>506</v>
      </c>
    </row>
    <row r="39" spans="3:12" ht="15" customHeight="1" x14ac:dyDescent="0.25">
      <c r="C39" s="209" t="s">
        <v>271</v>
      </c>
      <c r="D39" s="33">
        <f>D40-D38</f>
        <v>10</v>
      </c>
      <c r="E39" s="33">
        <f t="shared" ref="E39:F39" si="21">E40-E38</f>
        <v>10</v>
      </c>
      <c r="F39" s="34">
        <f t="shared" si="21"/>
        <v>9</v>
      </c>
      <c r="G39" s="174">
        <f>F39</f>
        <v>9</v>
      </c>
      <c r="H39" s="174">
        <f t="shared" ref="H39:L39" si="22">G39</f>
        <v>9</v>
      </c>
      <c r="I39" s="174">
        <f t="shared" si="22"/>
        <v>9</v>
      </c>
      <c r="J39" s="174">
        <f t="shared" si="22"/>
        <v>9</v>
      </c>
      <c r="K39" s="174">
        <f t="shared" si="22"/>
        <v>9</v>
      </c>
      <c r="L39" s="174">
        <f t="shared" si="22"/>
        <v>9</v>
      </c>
    </row>
    <row r="40" spans="3:12" ht="15" customHeight="1" x14ac:dyDescent="0.25">
      <c r="C40" s="19" t="s">
        <v>49</v>
      </c>
      <c r="D40" s="33">
        <v>504</v>
      </c>
      <c r="E40" s="33">
        <v>510</v>
      </c>
      <c r="F40" s="34">
        <v>515</v>
      </c>
      <c r="G40" s="35">
        <f>G38+G39</f>
        <v>515</v>
      </c>
      <c r="H40" s="35">
        <f t="shared" ref="H40:L40" si="23">H38+H39</f>
        <v>515</v>
      </c>
      <c r="I40" s="35">
        <f t="shared" si="23"/>
        <v>515</v>
      </c>
      <c r="J40" s="35">
        <f t="shared" si="23"/>
        <v>515</v>
      </c>
      <c r="K40" s="35">
        <f t="shared" si="23"/>
        <v>515</v>
      </c>
      <c r="L40" s="35">
        <f t="shared" si="23"/>
        <v>515</v>
      </c>
    </row>
    <row r="41" spans="3:12" ht="15" customHeight="1" x14ac:dyDescent="0.25">
      <c r="F41" s="48"/>
    </row>
    <row r="42" spans="3:12" ht="15" customHeight="1" x14ac:dyDescent="0.25">
      <c r="C42" s="26" t="s">
        <v>89</v>
      </c>
      <c r="D42" s="741">
        <v>0.20499999999999999</v>
      </c>
      <c r="E42" s="251">
        <f>E11/D11-1</f>
        <v>0.37623430604373276</v>
      </c>
      <c r="F42" s="252">
        <f>F11/E11-1</f>
        <v>0.21695366571345676</v>
      </c>
      <c r="G42" s="49">
        <f>G11/F11-1</f>
        <v>0.18253083082529131</v>
      </c>
      <c r="H42" s="49">
        <f t="shared" ref="H42:L42" si="24">H11/G11-1</f>
        <v>0.17701892980116241</v>
      </c>
      <c r="I42" s="49">
        <f t="shared" si="24"/>
        <v>0.1543398575070305</v>
      </c>
      <c r="J42" s="49">
        <f t="shared" si="24"/>
        <v>0.15999999999999992</v>
      </c>
      <c r="K42" s="49">
        <f t="shared" si="24"/>
        <v>0.15999999999999992</v>
      </c>
      <c r="L42" s="49">
        <f t="shared" si="24"/>
        <v>0.15999999999999992</v>
      </c>
    </row>
    <row r="43" spans="3:12" ht="15" customHeight="1" x14ac:dyDescent="0.25">
      <c r="C43" s="26"/>
      <c r="E43" s="49"/>
      <c r="F43" s="50"/>
    </row>
    <row r="44" spans="3:12" ht="15" customHeight="1" x14ac:dyDescent="0.25">
      <c r="C44" s="19" t="str">
        <f>C64</f>
        <v>Depreciation &amp; Amortization</v>
      </c>
      <c r="D44" s="51">
        <v>21789</v>
      </c>
      <c r="E44" s="51">
        <v>25251</v>
      </c>
      <c r="F44" s="52">
        <v>34296</v>
      </c>
      <c r="G44" s="104">
        <f>'Depreciation schedule'!G31</f>
        <v>51793.333333333336</v>
      </c>
      <c r="H44" s="104">
        <f>'Depreciation schedule'!H31</f>
        <v>61460.526315789473</v>
      </c>
      <c r="I44" s="104">
        <f>'Depreciation schedule'!I31</f>
        <v>69310.666666666672</v>
      </c>
      <c r="J44" s="104">
        <f>'Depreciation schedule'!J31</f>
        <v>77227.599999999991</v>
      </c>
      <c r="K44" s="104">
        <f>'Depreciation schedule'!K31</f>
        <v>84354.909090909088</v>
      </c>
      <c r="L44" s="104">
        <f>'Depreciation schedule'!L31</f>
        <v>93621.666666666672</v>
      </c>
    </row>
    <row r="45" spans="3:12" ht="15" customHeight="1" x14ac:dyDescent="0.25">
      <c r="C45" s="22" t="s">
        <v>81</v>
      </c>
      <c r="D45" s="53">
        <f>D21</f>
        <v>14541</v>
      </c>
      <c r="E45" s="53">
        <f>E21</f>
        <v>22749</v>
      </c>
      <c r="F45" s="54">
        <f>F21</f>
        <v>24879</v>
      </c>
      <c r="G45" s="53">
        <f>G21</f>
        <v>19445.265000000014</v>
      </c>
      <c r="H45" s="53">
        <f t="shared" ref="H45:L45" si="25">H21</f>
        <v>31388.495999999985</v>
      </c>
      <c r="I45" s="53">
        <f t="shared" si="25"/>
        <v>43026.678000000014</v>
      </c>
      <c r="J45" s="53">
        <f t="shared" si="25"/>
        <v>57791.622239999997</v>
      </c>
      <c r="K45" s="53">
        <f t="shared" si="25"/>
        <v>80242.791849599977</v>
      </c>
      <c r="L45" s="53">
        <f t="shared" si="25"/>
        <v>100151.13008064002</v>
      </c>
    </row>
    <row r="46" spans="3:12" ht="15" customHeight="1" x14ac:dyDescent="0.25">
      <c r="C46" s="12" t="s">
        <v>85</v>
      </c>
      <c r="D46" s="55">
        <f>SUM(D44:D45)</f>
        <v>36330</v>
      </c>
      <c r="E46" s="55">
        <f>SUM(E44:E45)</f>
        <v>48000</v>
      </c>
      <c r="F46" s="56">
        <f>SUM(F44:F45)</f>
        <v>59175</v>
      </c>
      <c r="G46" s="55">
        <f>SUM(G44:G45)</f>
        <v>71238.598333333357</v>
      </c>
      <c r="H46" s="55">
        <f t="shared" ref="H46:L46" si="26">SUM(H44:H45)</f>
        <v>92849.022315789451</v>
      </c>
      <c r="I46" s="55">
        <f t="shared" si="26"/>
        <v>112337.34466666669</v>
      </c>
      <c r="J46" s="55">
        <f t="shared" si="26"/>
        <v>135019.22223999997</v>
      </c>
      <c r="K46" s="55">
        <f t="shared" si="26"/>
        <v>164597.70094050906</v>
      </c>
      <c r="L46" s="55">
        <f t="shared" si="26"/>
        <v>193772.79674730671</v>
      </c>
    </row>
    <row r="47" spans="3:12" ht="15" customHeight="1" x14ac:dyDescent="0.25">
      <c r="C47" s="11" t="str">
        <f>C19</f>
        <v>Other operating expense (income), net</v>
      </c>
      <c r="D47" s="90">
        <f>D19</f>
        <v>-201</v>
      </c>
      <c r="E47" s="90">
        <f t="shared" ref="E47:L47" si="27">E19</f>
        <v>-75</v>
      </c>
      <c r="F47" s="260">
        <f t="shared" si="27"/>
        <v>-62</v>
      </c>
      <c r="G47" s="90">
        <f t="shared" si="27"/>
        <v>0</v>
      </c>
      <c r="H47" s="90">
        <f t="shared" si="27"/>
        <v>0</v>
      </c>
      <c r="I47" s="90">
        <f t="shared" si="27"/>
        <v>0</v>
      </c>
      <c r="J47" s="90">
        <f t="shared" si="27"/>
        <v>0</v>
      </c>
      <c r="K47" s="90">
        <f t="shared" si="27"/>
        <v>0</v>
      </c>
      <c r="L47" s="90">
        <f t="shared" si="27"/>
        <v>0</v>
      </c>
    </row>
    <row r="48" spans="3:12" ht="15" customHeight="1" x14ac:dyDescent="0.25">
      <c r="C48" s="25" t="s">
        <v>218</v>
      </c>
      <c r="D48" s="624">
        <f>D130</f>
        <v>6864</v>
      </c>
      <c r="E48" s="624">
        <f t="shared" ref="E48:F48" si="28">E130</f>
        <v>9208</v>
      </c>
      <c r="F48" s="625">
        <f t="shared" si="28"/>
        <v>12757</v>
      </c>
      <c r="G48" s="259">
        <f>-G65*G20</f>
        <v>15398.817424347766</v>
      </c>
      <c r="H48" s="259">
        <f t="shared" ref="H48:L48" si="29">-H65*H20</f>
        <v>17738.039346769103</v>
      </c>
      <c r="I48" s="259">
        <f t="shared" si="29"/>
        <v>20085.180633027998</v>
      </c>
      <c r="J48" s="259">
        <f t="shared" si="29"/>
        <v>22910.496042073937</v>
      </c>
      <c r="K48" s="259">
        <f t="shared" si="29"/>
        <v>25750.362048645133</v>
      </c>
      <c r="L48" s="259">
        <f t="shared" si="29"/>
        <v>29609.162658850255</v>
      </c>
    </row>
    <row r="49" spans="3:12" ht="15" customHeight="1" x14ac:dyDescent="0.25">
      <c r="C49" s="12" t="s">
        <v>308</v>
      </c>
      <c r="D49" s="55">
        <f>D48+D46-D47</f>
        <v>43395</v>
      </c>
      <c r="E49" s="55">
        <f t="shared" ref="E49:G49" si="30">E48+E46-E47</f>
        <v>57283</v>
      </c>
      <c r="F49" s="56">
        <f t="shared" si="30"/>
        <v>71994</v>
      </c>
      <c r="G49" s="55">
        <f t="shared" si="30"/>
        <v>86637.415757681127</v>
      </c>
      <c r="H49" s="55">
        <f t="shared" ref="H49" si="31">H48+H46-H47</f>
        <v>110587.06166255855</v>
      </c>
      <c r="I49" s="55">
        <f t="shared" ref="I49" si="32">I48+I46-I47</f>
        <v>132422.52529969468</v>
      </c>
      <c r="J49" s="55">
        <f t="shared" ref="J49" si="33">J48+J46-J47</f>
        <v>157929.71828207391</v>
      </c>
      <c r="K49" s="55">
        <f t="shared" ref="K49" si="34">K48+K46-K47</f>
        <v>190348.06298915419</v>
      </c>
      <c r="L49" s="55">
        <f t="shared" ref="L49" si="35">L48+L46-L47</f>
        <v>223381.95940615697</v>
      </c>
    </row>
    <row r="50" spans="3:12" ht="15" customHeight="1" x14ac:dyDescent="0.25">
      <c r="C50" s="59"/>
      <c r="D50" s="210"/>
      <c r="E50" s="210"/>
      <c r="F50" s="238"/>
      <c r="G50" s="55"/>
      <c r="H50" s="55"/>
      <c r="I50" s="55"/>
      <c r="J50" s="55"/>
      <c r="K50" s="55"/>
      <c r="L50" s="55"/>
    </row>
    <row r="51" spans="3:12" ht="15" customHeight="1" x14ac:dyDescent="0.25">
      <c r="C51" s="12" t="s">
        <v>80</v>
      </c>
      <c r="F51" s="48"/>
    </row>
    <row r="52" spans="3:12" ht="15" customHeight="1" outlineLevel="1" x14ac:dyDescent="0.25">
      <c r="C52" s="11" t="s">
        <v>86</v>
      </c>
      <c r="D52" s="57">
        <f>-D12/D9</f>
        <v>1.0319684803750437</v>
      </c>
      <c r="E52" s="57">
        <f>-E12/E9</f>
        <v>1.08055021652039</v>
      </c>
      <c r="F52" s="58">
        <f>-F12/F9</f>
        <v>1.1263798301811099</v>
      </c>
    </row>
    <row r="53" spans="3:12" ht="15" customHeight="1" x14ac:dyDescent="0.25">
      <c r="C53" s="59" t="s">
        <v>87</v>
      </c>
      <c r="D53" s="57">
        <f>-D12/D11</f>
        <v>0.59009988521399392</v>
      </c>
      <c r="E53" s="57">
        <f>-E12/E11</f>
        <v>0.60432208131294296</v>
      </c>
      <c r="F53" s="58">
        <f>-F12/F11</f>
        <v>0.57967485558360399</v>
      </c>
      <c r="G53" s="171">
        <f>Scenarios!G12</f>
        <v>0.59</v>
      </c>
      <c r="H53" s="171">
        <f>Scenarios!H12</f>
        <v>0.58499999999999996</v>
      </c>
      <c r="I53" s="171">
        <f>Scenarios!I12</f>
        <v>0.58299999999999996</v>
      </c>
      <c r="J53" s="171">
        <f>Scenarios!J12</f>
        <v>0.57999999999999996</v>
      </c>
      <c r="K53" s="171">
        <f>Scenarios!K12</f>
        <v>0.57799999999999996</v>
      </c>
      <c r="L53" s="171">
        <f>Scenarios!L12</f>
        <v>0.57499999999999996</v>
      </c>
    </row>
    <row r="54" spans="3:12" ht="15" customHeight="1" x14ac:dyDescent="0.25">
      <c r="C54" s="59" t="s">
        <v>76</v>
      </c>
      <c r="D54" s="57">
        <f t="shared" ref="D54:L54" si="36">D13/D11</f>
        <v>0.40990011478600608</v>
      </c>
      <c r="E54" s="57">
        <f t="shared" si="36"/>
        <v>0.3956779186870571</v>
      </c>
      <c r="F54" s="58">
        <f t="shared" si="36"/>
        <v>0.42032514441639601</v>
      </c>
      <c r="G54" s="57">
        <f t="shared" si="36"/>
        <v>0.41000000000000003</v>
      </c>
      <c r="H54" s="57">
        <f t="shared" si="36"/>
        <v>0.41500000000000004</v>
      </c>
      <c r="I54" s="57">
        <f t="shared" si="36"/>
        <v>0.41699999999999998</v>
      </c>
      <c r="J54" s="57">
        <f t="shared" si="36"/>
        <v>0.42000000000000004</v>
      </c>
      <c r="K54" s="57">
        <f t="shared" si="36"/>
        <v>0.42200000000000004</v>
      </c>
      <c r="L54" s="57">
        <f t="shared" si="36"/>
        <v>0.42500000000000004</v>
      </c>
    </row>
    <row r="55" spans="3:12" ht="15" customHeight="1" x14ac:dyDescent="0.25">
      <c r="C55" s="59" t="str">
        <f>C15</f>
        <v>Fulfillment</v>
      </c>
      <c r="D55" s="57">
        <f>-D15/D11</f>
        <v>0.14341834152045116</v>
      </c>
      <c r="E55" s="57">
        <f>-E15/E11</f>
        <v>0.15157331426913673</v>
      </c>
      <c r="F55" s="58">
        <f>-F15/F11</f>
        <v>0.15987118525739535</v>
      </c>
      <c r="G55" s="171">
        <f>Scenarios!G13</f>
        <v>0.16</v>
      </c>
      <c r="H55" s="171">
        <f>Scenarios!H13</f>
        <v>0.158</v>
      </c>
      <c r="I55" s="171">
        <f>Scenarios!I13</f>
        <v>0.155</v>
      </c>
      <c r="J55" s="171">
        <f>Scenarios!J13</f>
        <v>0.152</v>
      </c>
      <c r="K55" s="171">
        <f>Scenarios!K13</f>
        <v>0.14799999999999999</v>
      </c>
      <c r="L55" s="171">
        <f>Scenarios!L13</f>
        <v>0.14499999999999999</v>
      </c>
    </row>
    <row r="56" spans="3:12" ht="15" customHeight="1" x14ac:dyDescent="0.25">
      <c r="C56" s="59" t="str">
        <f>C16</f>
        <v>Technology and content</v>
      </c>
      <c r="D56" s="57">
        <f>-D16/D11</f>
        <v>0.12808621070718162</v>
      </c>
      <c r="E56" s="57">
        <f>-E16/E11</f>
        <v>0.11070703303079282</v>
      </c>
      <c r="F56" s="58">
        <f>-F16/F11</f>
        <v>0.11930475797216818</v>
      </c>
      <c r="G56" s="171">
        <f>Scenarios!G14</f>
        <v>0.122</v>
      </c>
      <c r="H56" s="171">
        <f>Scenarios!H14</f>
        <v>0.12</v>
      </c>
      <c r="I56" s="171">
        <f>Scenarios!I14</f>
        <v>0.11799999999999999</v>
      </c>
      <c r="J56" s="171">
        <f>Scenarios!J14</f>
        <v>0.11799999999999999</v>
      </c>
      <c r="K56" s="171">
        <f>Scenarios!K14</f>
        <v>0.11600000000000001</v>
      </c>
      <c r="L56" s="171">
        <f>Scenarios!L14</f>
        <v>0.11600000000000001</v>
      </c>
    </row>
    <row r="57" spans="3:12" ht="15" customHeight="1" x14ac:dyDescent="0.25">
      <c r="C57" s="59" t="str">
        <f>C17</f>
        <v>Marketing</v>
      </c>
      <c r="D57" s="57">
        <f>-D17/D11</f>
        <v>6.7295969656568824E-2</v>
      </c>
      <c r="E57" s="57">
        <f>-E17/E11</f>
        <v>5.7006092254134028E-2</v>
      </c>
      <c r="F57" s="58">
        <f>-F17/F11</f>
        <v>6.9283686161993263E-2</v>
      </c>
      <c r="G57" s="171">
        <f>Scenarios!G15</f>
        <v>7.1999999999999995E-2</v>
      </c>
      <c r="H57" s="171">
        <f>Scenarios!H15</f>
        <v>7.0000000000000007E-2</v>
      </c>
      <c r="I57" s="171">
        <f>Scenarios!I15</f>
        <v>6.8000000000000005E-2</v>
      </c>
      <c r="J57" s="171">
        <f>Scenarios!J15</f>
        <v>6.5000000000000002E-2</v>
      </c>
      <c r="K57" s="171">
        <f>Scenarios!K15</f>
        <v>0.06</v>
      </c>
      <c r="L57" s="171">
        <f>Scenarios!L15</f>
        <v>0.06</v>
      </c>
    </row>
    <row r="58" spans="3:12" ht="15" customHeight="1" x14ac:dyDescent="0.25">
      <c r="C58" s="59" t="str">
        <f>C18</f>
        <v>General and administrative</v>
      </c>
      <c r="D58" s="57">
        <f>-D18/D11</f>
        <v>1.8547564896870834E-2</v>
      </c>
      <c r="E58" s="57">
        <f>-E18/E11</f>
        <v>1.7271747689502258E-2</v>
      </c>
      <c r="F58" s="58">
        <f>-F18/F11</f>
        <v>1.8779452643767215E-2</v>
      </c>
      <c r="G58" s="171">
        <f>Scenarios!G16</f>
        <v>2.1000000000000001E-2</v>
      </c>
      <c r="H58" s="171">
        <f>Scenarios!H16</f>
        <v>1.9E-2</v>
      </c>
      <c r="I58" s="171">
        <f>Scenarios!I16</f>
        <v>1.9E-2</v>
      </c>
      <c r="J58" s="171">
        <f>Scenarios!J16</f>
        <v>1.9E-2</v>
      </c>
      <c r="K58" s="171">
        <f>Scenarios!K16</f>
        <v>1.9E-2</v>
      </c>
      <c r="L58" s="171">
        <f>Scenarios!L16</f>
        <v>1.9E-2</v>
      </c>
    </row>
    <row r="59" spans="3:12" ht="15" customHeight="1" x14ac:dyDescent="0.25">
      <c r="C59" s="59" t="str">
        <f>C19</f>
        <v>Other operating expense (income), net</v>
      </c>
      <c r="D59" s="57">
        <f>-D19/D11</f>
        <v>7.1652134235461028E-4</v>
      </c>
      <c r="E59" s="57">
        <f>-E19/E11</f>
        <v>1.9426830784533136E-4</v>
      </c>
      <c r="F59" s="58">
        <f>-F19/F11</f>
        <v>1.3196487180251244E-4</v>
      </c>
      <c r="G59" s="171">
        <f>Scenarios!G17</f>
        <v>0</v>
      </c>
      <c r="H59" s="171">
        <f>Scenarios!H17</f>
        <v>0</v>
      </c>
      <c r="I59" s="171">
        <f>Scenarios!I17</f>
        <v>0</v>
      </c>
      <c r="J59" s="171">
        <f>Scenarios!J17</f>
        <v>0</v>
      </c>
      <c r="K59" s="171">
        <f>Scenarios!K17</f>
        <v>0</v>
      </c>
      <c r="L59" s="171">
        <f>Scenarios!L17</f>
        <v>0</v>
      </c>
    </row>
    <row r="60" spans="3:12" ht="15" customHeight="1" x14ac:dyDescent="0.25">
      <c r="C60" s="59" t="s">
        <v>81</v>
      </c>
      <c r="D60" s="57">
        <f t="shared" ref="D60:L60" si="37">D21/D11</f>
        <v>5.1835506662579051E-2</v>
      </c>
      <c r="E60" s="57">
        <f t="shared" si="37"/>
        <v>5.8925463135645902E-2</v>
      </c>
      <c r="F60" s="58">
        <f t="shared" si="37"/>
        <v>5.2954097509269465E-2</v>
      </c>
      <c r="G60" s="254">
        <f t="shared" si="37"/>
        <v>3.5000000000000024E-2</v>
      </c>
      <c r="H60" s="254">
        <f t="shared" si="37"/>
        <v>4.7999999999999973E-2</v>
      </c>
      <c r="I60" s="254">
        <f t="shared" si="37"/>
        <v>5.700000000000003E-2</v>
      </c>
      <c r="J60" s="254">
        <f t="shared" si="37"/>
        <v>6.6000000000000017E-2</v>
      </c>
      <c r="K60" s="254">
        <f t="shared" si="37"/>
        <v>7.9000000000000001E-2</v>
      </c>
      <c r="L60" s="57">
        <f t="shared" si="37"/>
        <v>8.5000000000000062E-2</v>
      </c>
    </row>
    <row r="61" spans="3:12" ht="15" customHeight="1" x14ac:dyDescent="0.25">
      <c r="C61" s="246" t="s">
        <v>303</v>
      </c>
      <c r="D61" s="251"/>
      <c r="E61" s="251"/>
      <c r="F61" s="252"/>
      <c r="G61" s="255">
        <f>'Wall Street estimates'!D16</f>
        <v>6.6143608739711188E-2</v>
      </c>
      <c r="H61" s="255">
        <f>'Wall Street estimates'!E16</f>
        <v>8.633532489100465E-2</v>
      </c>
      <c r="I61" s="255">
        <f>'Wall Street estimates'!F16</f>
        <v>0.10585755656060643</v>
      </c>
      <c r="J61" s="255">
        <f>'Wall Street estimates'!G16</f>
        <v>0.11863346855930032</v>
      </c>
      <c r="K61" s="255">
        <f>'Wall Street estimates'!H16</f>
        <v>0.13295130097162969</v>
      </c>
      <c r="L61" s="57"/>
    </row>
    <row r="62" spans="3:12" ht="15" customHeight="1" x14ac:dyDescent="0.25">
      <c r="C62" s="59" t="s">
        <v>88</v>
      </c>
      <c r="D62" s="57">
        <f>-D29/D28</f>
        <v>0.16986262163709215</v>
      </c>
      <c r="E62" s="57">
        <f>-E29/E28</f>
        <v>0.11915265523555851</v>
      </c>
      <c r="F62" s="58">
        <f>-F29/F28</f>
        <v>0.12557993237398757</v>
      </c>
      <c r="G62" s="171">
        <f>Scenarios!G18</f>
        <v>0.13</v>
      </c>
      <c r="H62" s="171">
        <f>Scenarios!H18</f>
        <v>0.13</v>
      </c>
      <c r="I62" s="171">
        <f>Scenarios!I18</f>
        <v>0.13</v>
      </c>
      <c r="J62" s="171">
        <f>Scenarios!J18</f>
        <v>0.128</v>
      </c>
      <c r="K62" s="171">
        <f>Scenarios!K18</f>
        <v>0.126</v>
      </c>
      <c r="L62" s="171">
        <f>Scenarios!L18</f>
        <v>0.126</v>
      </c>
    </row>
    <row r="63" spans="3:12" ht="15" customHeight="1" x14ac:dyDescent="0.25">
      <c r="C63" s="59" t="str">
        <f>C31</f>
        <v>Net income</v>
      </c>
      <c r="D63" s="57">
        <f t="shared" ref="D63:F63" si="38">D31/D11</f>
        <v>4.1308703060722513E-2</v>
      </c>
      <c r="E63" s="57">
        <f t="shared" si="38"/>
        <v>5.4863960379626174E-2</v>
      </c>
      <c r="F63" s="58">
        <f t="shared" si="38"/>
        <v>7.1014128755145567E-2</v>
      </c>
      <c r="G63" s="57">
        <f t="shared" ref="G63:L63" ca="1" si="39">G31/G11</f>
        <v>2.7989547525745714E-2</v>
      </c>
      <c r="H63" s="57">
        <f t="shared" ca="1" si="39"/>
        <v>4.0157867911830972E-2</v>
      </c>
      <c r="I63" s="57">
        <f t="shared" ca="1" si="39"/>
        <v>4.884199718050853E-2</v>
      </c>
      <c r="J63" s="57">
        <f t="shared" ca="1" si="39"/>
        <v>5.7568301095408933E-2</v>
      </c>
      <c r="K63" s="57">
        <f t="shared" ca="1" si="39"/>
        <v>7.0077141737787979E-2</v>
      </c>
      <c r="L63" s="57">
        <f t="shared" ca="1" si="39"/>
        <v>7.6239616915750597E-2</v>
      </c>
    </row>
    <row r="64" spans="3:12" ht="15" customHeight="1" x14ac:dyDescent="0.25">
      <c r="C64" s="59" t="s">
        <v>83</v>
      </c>
      <c r="D64" s="57">
        <f t="shared" ref="D64:L64" si="40">D44/D11</f>
        <v>7.7673052380918428E-2</v>
      </c>
      <c r="E64" s="57">
        <f t="shared" si="40"/>
        <v>6.5406253885366153E-2</v>
      </c>
      <c r="F64" s="58">
        <f t="shared" si="40"/>
        <v>7.2997858763531723E-2</v>
      </c>
      <c r="G64" s="57">
        <f t="shared" si="40"/>
        <v>9.322406594441715E-2</v>
      </c>
      <c r="H64" s="57">
        <f t="shared" si="40"/>
        <v>9.3986830817185216E-2</v>
      </c>
      <c r="I64" s="57">
        <f t="shared" si="40"/>
        <v>9.1819963418974637E-2</v>
      </c>
      <c r="J64" s="57">
        <f t="shared" si="40"/>
        <v>8.8196548261490731E-2</v>
      </c>
      <c r="K64" s="57">
        <f t="shared" si="40"/>
        <v>8.3048429205607704E-2</v>
      </c>
      <c r="L64" s="57">
        <f t="shared" si="40"/>
        <v>7.9458331226608739E-2</v>
      </c>
    </row>
    <row r="65" spans="3:13" ht="15" customHeight="1" x14ac:dyDescent="0.25">
      <c r="C65" s="59" t="s">
        <v>218</v>
      </c>
      <c r="D65" s="57">
        <f>-D130/D20</f>
        <v>6.8335905221763152E-2</v>
      </c>
      <c r="E65" s="57">
        <f t="shared" ref="E65:F65" si="41">-E130/E20</f>
        <v>7.0826410682419544E-2</v>
      </c>
      <c r="F65" s="58">
        <f t="shared" si="41"/>
        <v>7.3911204584035828E-2</v>
      </c>
      <c r="G65" s="171">
        <f>F65</f>
        <v>7.3911204584035828E-2</v>
      </c>
      <c r="H65" s="171">
        <f t="shared" ref="H65:L65" si="42">G65</f>
        <v>7.3911204584035828E-2</v>
      </c>
      <c r="I65" s="171">
        <f t="shared" si="42"/>
        <v>7.3911204584035828E-2</v>
      </c>
      <c r="J65" s="171">
        <f t="shared" si="42"/>
        <v>7.3911204584035828E-2</v>
      </c>
      <c r="K65" s="171">
        <f t="shared" si="42"/>
        <v>7.3911204584035828E-2</v>
      </c>
      <c r="L65" s="171">
        <f t="shared" si="42"/>
        <v>7.3911204584035828E-2</v>
      </c>
    </row>
    <row r="66" spans="3:13" ht="15" customHeight="1" x14ac:dyDescent="0.25">
      <c r="C66" s="59" t="s">
        <v>84</v>
      </c>
      <c r="D66" s="57">
        <f t="shared" ref="D66:L66" si="43">-D144/D11</f>
        <v>6.0105802753438235E-2</v>
      </c>
      <c r="E66" s="57">
        <f t="shared" si="43"/>
        <v>0.10397239835882134</v>
      </c>
      <c r="F66" s="58">
        <f t="shared" si="43"/>
        <v>0.12994921480901278</v>
      </c>
      <c r="G66" s="57">
        <f t="shared" si="43"/>
        <v>8.4492034436146793E-2</v>
      </c>
      <c r="H66" s="57">
        <f t="shared" si="43"/>
        <v>7.5760750053140494E-2</v>
      </c>
      <c r="I66" s="57">
        <f t="shared" si="43"/>
        <v>7.0784549065117233E-2</v>
      </c>
      <c r="J66" s="57">
        <f t="shared" si="43"/>
        <v>6.4572888860992814E-2</v>
      </c>
      <c r="K66" s="57">
        <f t="shared" si="43"/>
        <v>5.9070726363612061E-2</v>
      </c>
      <c r="L66" s="57">
        <f t="shared" si="43"/>
        <v>5.9070726363612054E-2</v>
      </c>
    </row>
    <row r="67" spans="3:13" ht="15" customHeight="1" x14ac:dyDescent="0.25">
      <c r="C67" s="59" t="s">
        <v>85</v>
      </c>
      <c r="D67" s="57">
        <f t="shared" ref="D67:L67" si="44">D46/D11</f>
        <v>0.12950855904349748</v>
      </c>
      <c r="E67" s="57">
        <f t="shared" si="44"/>
        <v>0.12433171702101206</v>
      </c>
      <c r="F67" s="58">
        <f t="shared" si="44"/>
        <v>0.1259519562728012</v>
      </c>
      <c r="G67" s="57">
        <f t="shared" si="44"/>
        <v>0.12822406594441718</v>
      </c>
      <c r="H67" s="57">
        <f t="shared" si="44"/>
        <v>0.14198683081718519</v>
      </c>
      <c r="I67" s="57">
        <f t="shared" si="44"/>
        <v>0.14881996341897466</v>
      </c>
      <c r="J67" s="57">
        <f t="shared" si="44"/>
        <v>0.15419654826149073</v>
      </c>
      <c r="K67" s="57">
        <f t="shared" si="44"/>
        <v>0.16204842920560769</v>
      </c>
      <c r="L67" s="57">
        <f t="shared" si="44"/>
        <v>0.1644583312266088</v>
      </c>
    </row>
    <row r="68" spans="3:13" ht="15" customHeight="1" x14ac:dyDescent="0.25">
      <c r="C68" s="59" t="s">
        <v>308</v>
      </c>
      <c r="D68" s="57">
        <f>D49/D11</f>
        <v>0.15469374950984235</v>
      </c>
      <c r="E68" s="57">
        <f t="shared" ref="E68:F68" si="45">E49/E11</f>
        <v>0.14837695304405488</v>
      </c>
      <c r="F68" s="58">
        <f t="shared" si="45"/>
        <v>0.15323675775080775</v>
      </c>
      <c r="G68" s="254">
        <f>G49/G11</f>
        <v>0.15594076766343062</v>
      </c>
      <c r="H68" s="254">
        <f t="shared" ref="H68:K68" si="46">H49/H11</f>
        <v>0.16911224289952634</v>
      </c>
      <c r="I68" s="254">
        <f t="shared" si="46"/>
        <v>0.17542799706922757</v>
      </c>
      <c r="J68" s="254">
        <f t="shared" si="46"/>
        <v>0.1803611146842394</v>
      </c>
      <c r="K68" s="254">
        <f t="shared" si="46"/>
        <v>0.18739997237793199</v>
      </c>
      <c r="L68" s="57"/>
    </row>
    <row r="69" spans="3:13" ht="15" customHeight="1" x14ac:dyDescent="0.25">
      <c r="C69" s="246" t="s">
        <v>304</v>
      </c>
      <c r="D69" s="253"/>
      <c r="E69" s="253"/>
      <c r="F69" s="58"/>
      <c r="G69" s="255">
        <f>'Wall Street estimates'!D17</f>
        <v>0.14527546937519237</v>
      </c>
      <c r="H69" s="255">
        <f>'Wall Street estimates'!E17</f>
        <v>0.16251814040405121</v>
      </c>
      <c r="I69" s="255">
        <f>'Wall Street estimates'!F17</f>
        <v>0.17843980425353778</v>
      </c>
      <c r="J69" s="255">
        <f>'Wall Street estimates'!G17</f>
        <v>0.18766944930113458</v>
      </c>
      <c r="K69" s="255">
        <f>'Wall Street estimates'!H17</f>
        <v>0.19737648978222777</v>
      </c>
      <c r="L69" s="253"/>
    </row>
    <row r="70" spans="3:13" ht="1.95" customHeight="1" thickBot="1" x14ac:dyDescent="0.3">
      <c r="C70" s="60"/>
      <c r="D70" s="60"/>
      <c r="E70" s="60"/>
      <c r="F70" s="60"/>
      <c r="G70" s="60"/>
      <c r="H70" s="60"/>
      <c r="I70" s="60"/>
      <c r="J70" s="60"/>
      <c r="K70" s="60"/>
      <c r="L70" s="60"/>
    </row>
    <row r="73" spans="3:13" ht="15" customHeight="1" x14ac:dyDescent="0.25">
      <c r="C73" s="12" t="s">
        <v>90</v>
      </c>
    </row>
    <row r="74" spans="3:13" ht="15" customHeight="1" x14ac:dyDescent="0.25">
      <c r="C74" s="11" t="s">
        <v>74</v>
      </c>
    </row>
    <row r="75" spans="3:13" ht="15" customHeight="1" x14ac:dyDescent="0.25">
      <c r="C75" s="13"/>
      <c r="D75" s="14" t="s">
        <v>73</v>
      </c>
      <c r="E75" s="14"/>
      <c r="F75" s="14"/>
      <c r="G75" s="14" t="s">
        <v>30</v>
      </c>
      <c r="H75" s="15"/>
      <c r="I75" s="15"/>
      <c r="J75" s="15"/>
      <c r="K75" s="15"/>
      <c r="L75" s="15"/>
    </row>
    <row r="76" spans="3:13" ht="15" customHeight="1" x14ac:dyDescent="0.25">
      <c r="C76" s="16"/>
      <c r="D76" s="17">
        <v>2019</v>
      </c>
      <c r="E76" s="17">
        <v>2020</v>
      </c>
      <c r="F76" s="17">
        <v>2021</v>
      </c>
      <c r="G76" s="18">
        <f t="shared" ref="G76:L76" si="47">F76+1</f>
        <v>2022</v>
      </c>
      <c r="H76" s="18">
        <f t="shared" si="47"/>
        <v>2023</v>
      </c>
      <c r="I76" s="18">
        <f t="shared" si="47"/>
        <v>2024</v>
      </c>
      <c r="J76" s="18">
        <f t="shared" si="47"/>
        <v>2025</v>
      </c>
      <c r="K76" s="18">
        <f t="shared" si="47"/>
        <v>2026</v>
      </c>
      <c r="L76" s="18">
        <f t="shared" si="47"/>
        <v>2027</v>
      </c>
    </row>
    <row r="77" spans="3:13" ht="15" customHeight="1" x14ac:dyDescent="0.25">
      <c r="C77" s="61" t="s">
        <v>94</v>
      </c>
      <c r="D77" s="62"/>
      <c r="E77" s="62"/>
      <c r="F77" s="63"/>
      <c r="G77" s="64"/>
      <c r="H77" s="64"/>
      <c r="I77" s="64"/>
      <c r="J77" s="64"/>
      <c r="K77" s="64"/>
      <c r="L77" s="64"/>
      <c r="M77" s="11" t="s">
        <v>269</v>
      </c>
    </row>
    <row r="78" spans="3:13" ht="15" customHeight="1" x14ac:dyDescent="0.25">
      <c r="C78" s="19" t="s">
        <v>50</v>
      </c>
      <c r="D78" s="20">
        <v>36092</v>
      </c>
      <c r="E78" s="20">
        <v>42122</v>
      </c>
      <c r="F78" s="21">
        <v>36220</v>
      </c>
      <c r="G78" s="93">
        <f t="shared" ref="G78:L78" ca="1" si="48">F78+G159</f>
        <v>74344.901563099353</v>
      </c>
      <c r="H78" s="93">
        <f t="shared" ca="1" si="48"/>
        <v>132840.5916757212</v>
      </c>
      <c r="I78" s="93">
        <f t="shared" ca="1" si="48"/>
        <v>208901.61522771695</v>
      </c>
      <c r="J78" s="93">
        <f t="shared" ca="1" si="48"/>
        <v>313177.36428696348</v>
      </c>
      <c r="K78" s="93">
        <f t="shared" ca="1" si="48"/>
        <v>450345.42197699158</v>
      </c>
      <c r="L78" s="93">
        <f t="shared" ca="1" si="48"/>
        <v>584516.25076526194</v>
      </c>
    </row>
    <row r="79" spans="3:13" ht="15" customHeight="1" x14ac:dyDescent="0.25">
      <c r="C79" s="19" t="s">
        <v>51</v>
      </c>
      <c r="D79" s="33">
        <v>18929</v>
      </c>
      <c r="E79" s="33">
        <v>42274</v>
      </c>
      <c r="F79" s="34">
        <v>59829</v>
      </c>
      <c r="G79" s="174">
        <f>F79</f>
        <v>59829</v>
      </c>
      <c r="H79" s="174">
        <f t="shared" ref="H79:L79" si="49">G79</f>
        <v>59829</v>
      </c>
      <c r="I79" s="174">
        <f t="shared" si="49"/>
        <v>59829</v>
      </c>
      <c r="J79" s="174">
        <f t="shared" si="49"/>
        <v>59829</v>
      </c>
      <c r="K79" s="174">
        <f t="shared" si="49"/>
        <v>59829</v>
      </c>
      <c r="L79" s="174">
        <f t="shared" si="49"/>
        <v>59829</v>
      </c>
    </row>
    <row r="80" spans="3:13" ht="15" customHeight="1" x14ac:dyDescent="0.25">
      <c r="C80" s="19" t="s">
        <v>52</v>
      </c>
      <c r="D80" s="33">
        <v>20497</v>
      </c>
      <c r="E80" s="33">
        <v>23795</v>
      </c>
      <c r="F80" s="34">
        <v>32640</v>
      </c>
      <c r="G80" s="173">
        <f t="shared" ref="G80:L80" si="50">-G114/365*G12</f>
        <v>39285.308838821489</v>
      </c>
      <c r="H80" s="173">
        <f t="shared" si="50"/>
        <v>45847.691554798344</v>
      </c>
      <c r="I80" s="173">
        <f t="shared" si="50"/>
        <v>52742.881607378898</v>
      </c>
      <c r="J80" s="173">
        <f t="shared" si="50"/>
        <v>60866.913800076356</v>
      </c>
      <c r="K80" s="173">
        <f t="shared" si="50"/>
        <v>70362.152352888268</v>
      </c>
      <c r="L80" s="173">
        <f t="shared" si="50"/>
        <v>81196.463009301835</v>
      </c>
      <c r="M80" s="198">
        <f>F80-G80</f>
        <v>-6645.3088388214892</v>
      </c>
    </row>
    <row r="81" spans="3:13" ht="15" customHeight="1" x14ac:dyDescent="0.25">
      <c r="C81" s="22" t="s">
        <v>53</v>
      </c>
      <c r="D81" s="23">
        <v>20816</v>
      </c>
      <c r="E81" s="23">
        <v>24542</v>
      </c>
      <c r="F81" s="24">
        <v>32891</v>
      </c>
      <c r="G81" s="172">
        <f t="shared" ref="G81:L81" si="51">G115/365*G11</f>
        <v>38894.621556674654</v>
      </c>
      <c r="H81" s="172">
        <f t="shared" si="51"/>
        <v>45779.705839658425</v>
      </c>
      <c r="I81" s="172">
        <f t="shared" si="51"/>
        <v>52845.339115665076</v>
      </c>
      <c r="J81" s="172">
        <f t="shared" si="51"/>
        <v>61300.593374171476</v>
      </c>
      <c r="K81" s="172">
        <f t="shared" si="51"/>
        <v>71108.688314038911</v>
      </c>
      <c r="L81" s="172">
        <f t="shared" si="51"/>
        <v>82486.078444285129</v>
      </c>
      <c r="M81" s="198">
        <f>F81-G81</f>
        <v>-6003.6215566746541</v>
      </c>
    </row>
    <row r="82" spans="3:13" ht="15" customHeight="1" x14ac:dyDescent="0.25">
      <c r="C82" s="30" t="s">
        <v>54</v>
      </c>
      <c r="D82" s="55">
        <f>SUM(D78:D81)</f>
        <v>96334</v>
      </c>
      <c r="E82" s="65">
        <f t="shared" ref="E82:L82" si="52">SUM(E78:E81)</f>
        <v>132733</v>
      </c>
      <c r="F82" s="66">
        <f t="shared" si="52"/>
        <v>161580</v>
      </c>
      <c r="G82" s="200">
        <f t="shared" ca="1" si="52"/>
        <v>212353.83195859549</v>
      </c>
      <c r="H82" s="200">
        <f t="shared" ca="1" si="52"/>
        <v>284296.98907017795</v>
      </c>
      <c r="I82" s="200">
        <f t="shared" ca="1" si="52"/>
        <v>374318.83595076093</v>
      </c>
      <c r="J82" s="200">
        <f t="shared" ca="1" si="52"/>
        <v>495173.8714612113</v>
      </c>
      <c r="K82" s="200">
        <f t="shared" ca="1" si="52"/>
        <v>651645.26264391874</v>
      </c>
      <c r="L82" s="200">
        <f t="shared" ca="1" si="52"/>
        <v>808027.79221884883</v>
      </c>
      <c r="M82" s="198"/>
    </row>
    <row r="83" spans="3:13" ht="15" customHeight="1" x14ac:dyDescent="0.25">
      <c r="C83" s="19" t="s">
        <v>55</v>
      </c>
      <c r="D83" s="33">
        <v>72705</v>
      </c>
      <c r="E83" s="33">
        <v>113114</v>
      </c>
      <c r="F83" s="34">
        <v>160281</v>
      </c>
      <c r="G83" s="173">
        <f>F83-G127-G144</f>
        <v>155957.66666666666</v>
      </c>
      <c r="H83" s="173">
        <f t="shared" ref="H83:L83" si="53">G83-H127-H144</f>
        <v>144491.14035087719</v>
      </c>
      <c r="I83" s="173">
        <f t="shared" si="53"/>
        <v>128990.4736842105</v>
      </c>
      <c r="J83" s="173">
        <f t="shared" si="53"/>
        <v>108622.8736842105</v>
      </c>
      <c r="K83" s="173">
        <f t="shared" si="53"/>
        <v>84557.964593301411</v>
      </c>
      <c r="L83" s="173">
        <f t="shared" si="53"/>
        <v>62530.297926634725</v>
      </c>
      <c r="M83" s="198"/>
    </row>
    <row r="84" spans="3:13" ht="15" customHeight="1" x14ac:dyDescent="0.25">
      <c r="C84" s="19" t="s">
        <v>56</v>
      </c>
      <c r="D84" s="33">
        <v>25141</v>
      </c>
      <c r="E84" s="33">
        <v>37553</v>
      </c>
      <c r="F84" s="34">
        <v>56082</v>
      </c>
      <c r="G84" s="174">
        <f t="shared" ref="G84:L85" si="54">F84</f>
        <v>56082</v>
      </c>
      <c r="H84" s="174">
        <f t="shared" si="54"/>
        <v>56082</v>
      </c>
      <c r="I84" s="174">
        <f t="shared" si="54"/>
        <v>56082</v>
      </c>
      <c r="J84" s="174">
        <f t="shared" si="54"/>
        <v>56082</v>
      </c>
      <c r="K84" s="174">
        <f t="shared" si="54"/>
        <v>56082</v>
      </c>
      <c r="L84" s="174">
        <f t="shared" si="54"/>
        <v>56082</v>
      </c>
      <c r="M84" s="198"/>
    </row>
    <row r="85" spans="3:13" ht="15" customHeight="1" x14ac:dyDescent="0.25">
      <c r="C85" s="19" t="s">
        <v>57</v>
      </c>
      <c r="D85" s="33">
        <v>14754</v>
      </c>
      <c r="E85" s="33">
        <v>15017</v>
      </c>
      <c r="F85" s="34">
        <v>15371</v>
      </c>
      <c r="G85" s="174">
        <f t="shared" si="54"/>
        <v>15371</v>
      </c>
      <c r="H85" s="174">
        <f t="shared" si="54"/>
        <v>15371</v>
      </c>
      <c r="I85" s="174">
        <f t="shared" si="54"/>
        <v>15371</v>
      </c>
      <c r="J85" s="174">
        <f t="shared" si="54"/>
        <v>15371</v>
      </c>
      <c r="K85" s="174">
        <f t="shared" si="54"/>
        <v>15371</v>
      </c>
      <c r="L85" s="174">
        <f t="shared" si="54"/>
        <v>15371</v>
      </c>
      <c r="M85" s="198"/>
    </row>
    <row r="86" spans="3:13" ht="15" customHeight="1" x14ac:dyDescent="0.25">
      <c r="C86" s="22" t="s">
        <v>268</v>
      </c>
      <c r="D86" s="23">
        <v>16314</v>
      </c>
      <c r="E86" s="23">
        <v>22778</v>
      </c>
      <c r="F86" s="24">
        <v>27235</v>
      </c>
      <c r="G86" s="172">
        <f>F86-G128</f>
        <v>26707</v>
      </c>
      <c r="H86" s="172">
        <f t="shared" ref="H86:L86" si="55">G86-H128</f>
        <v>26255</v>
      </c>
      <c r="I86" s="172">
        <f t="shared" si="55"/>
        <v>25877</v>
      </c>
      <c r="J86" s="172">
        <f t="shared" si="55"/>
        <v>25559</v>
      </c>
      <c r="K86" s="172">
        <f t="shared" si="55"/>
        <v>25269</v>
      </c>
      <c r="L86" s="172">
        <f t="shared" si="55"/>
        <v>23275</v>
      </c>
      <c r="M86" s="198"/>
    </row>
    <row r="87" spans="3:13" ht="15" customHeight="1" x14ac:dyDescent="0.25">
      <c r="C87" s="30" t="s">
        <v>58</v>
      </c>
      <c r="D87" s="626">
        <f>SUM(D83:D86)+D82</f>
        <v>225248</v>
      </c>
      <c r="E87" s="65">
        <f t="shared" ref="E87:L87" si="56">E82+SUM(E83:E86)</f>
        <v>321195</v>
      </c>
      <c r="F87" s="66">
        <f t="shared" si="56"/>
        <v>420549</v>
      </c>
      <c r="G87" s="200">
        <f t="shared" ca="1" si="56"/>
        <v>466471.49862526217</v>
      </c>
      <c r="H87" s="200">
        <f t="shared" ca="1" si="56"/>
        <v>526496.12942105508</v>
      </c>
      <c r="I87" s="200">
        <f t="shared" ca="1" si="56"/>
        <v>600639.30963497143</v>
      </c>
      <c r="J87" s="200">
        <f t="shared" ca="1" si="56"/>
        <v>700808.74514542182</v>
      </c>
      <c r="K87" s="200">
        <f t="shared" ca="1" si="56"/>
        <v>832925.22723722016</v>
      </c>
      <c r="L87" s="200">
        <f t="shared" ca="1" si="56"/>
        <v>965286.09014548361</v>
      </c>
      <c r="M87" s="198"/>
    </row>
    <row r="88" spans="3:13" ht="15" customHeight="1" x14ac:dyDescent="0.25">
      <c r="C88" s="26"/>
      <c r="E88" s="67"/>
      <c r="F88" s="68"/>
      <c r="G88" s="93"/>
      <c r="H88" s="93"/>
      <c r="I88" s="93"/>
      <c r="J88" s="93"/>
      <c r="K88" s="93"/>
      <c r="L88" s="93"/>
      <c r="M88" s="198"/>
    </row>
    <row r="89" spans="3:13" ht="15" customHeight="1" x14ac:dyDescent="0.25">
      <c r="C89" s="30" t="s">
        <v>95</v>
      </c>
      <c r="E89" s="69"/>
      <c r="F89" s="70"/>
      <c r="G89" s="201"/>
      <c r="H89" s="201"/>
      <c r="I89" s="201"/>
      <c r="J89" s="201"/>
      <c r="K89" s="201"/>
      <c r="L89" s="201"/>
      <c r="M89" s="198"/>
    </row>
    <row r="90" spans="3:13" ht="15" customHeight="1" x14ac:dyDescent="0.25">
      <c r="C90" s="19" t="s">
        <v>59</v>
      </c>
      <c r="D90" s="20">
        <v>47183</v>
      </c>
      <c r="E90" s="20">
        <v>72539</v>
      </c>
      <c r="F90" s="21">
        <v>78664</v>
      </c>
      <c r="G90" s="93">
        <f t="shared" ref="G90:L90" si="57">-G116/365*G12</f>
        <v>94679.520051993066</v>
      </c>
      <c r="H90" s="93">
        <f t="shared" si="57"/>
        <v>110495.18408292453</v>
      </c>
      <c r="I90" s="93">
        <f t="shared" si="57"/>
        <v>127112.93010915603</v>
      </c>
      <c r="J90" s="93">
        <f t="shared" si="57"/>
        <v>146692.24593042911</v>
      </c>
      <c r="K90" s="93">
        <f t="shared" si="57"/>
        <v>169576.23629557603</v>
      </c>
      <c r="L90" s="93">
        <f t="shared" si="57"/>
        <v>195687.4560711924</v>
      </c>
      <c r="M90" s="198">
        <f>G90-F90</f>
        <v>16015.520051993066</v>
      </c>
    </row>
    <row r="91" spans="3:13" ht="15" customHeight="1" x14ac:dyDescent="0.25">
      <c r="C91" s="19" t="s">
        <v>277</v>
      </c>
      <c r="D91" s="221">
        <v>0</v>
      </c>
      <c r="E91" s="221">
        <v>0</v>
      </c>
      <c r="F91" s="222">
        <v>0</v>
      </c>
      <c r="G91" s="208">
        <f t="shared" ref="G91:L91" ca="1" si="58">F91+G148</f>
        <v>0</v>
      </c>
      <c r="H91" s="208">
        <f t="shared" ca="1" si="58"/>
        <v>0</v>
      </c>
      <c r="I91" s="208">
        <f t="shared" ca="1" si="58"/>
        <v>0</v>
      </c>
      <c r="J91" s="208">
        <f t="shared" ca="1" si="58"/>
        <v>0</v>
      </c>
      <c r="K91" s="208">
        <f t="shared" ca="1" si="58"/>
        <v>0</v>
      </c>
      <c r="L91" s="208">
        <f t="shared" ca="1" si="58"/>
        <v>0</v>
      </c>
      <c r="M91" s="198"/>
    </row>
    <row r="92" spans="3:13" ht="15" customHeight="1" x14ac:dyDescent="0.25">
      <c r="C92" s="19" t="s">
        <v>60</v>
      </c>
      <c r="D92" s="33">
        <v>32439</v>
      </c>
      <c r="E92" s="33">
        <v>44138</v>
      </c>
      <c r="F92" s="34">
        <v>51775</v>
      </c>
      <c r="G92" s="173">
        <f t="shared" ref="G92:L92" si="59">-G117/365*G20</f>
        <v>62496.964187944315</v>
      </c>
      <c r="H92" s="173">
        <f t="shared" si="59"/>
        <v>71990.827559690399</v>
      </c>
      <c r="I92" s="173">
        <f t="shared" si="59"/>
        <v>81516.83211374341</v>
      </c>
      <c r="J92" s="173">
        <f t="shared" si="59"/>
        <v>92983.533164409979</v>
      </c>
      <c r="K92" s="173">
        <f t="shared" si="59"/>
        <v>104509.28863123005</v>
      </c>
      <c r="L92" s="173">
        <f t="shared" si="59"/>
        <v>120170.44733573507</v>
      </c>
      <c r="M92" s="198">
        <f>G92-F92</f>
        <v>10721.964187944315</v>
      </c>
    </row>
    <row r="93" spans="3:13" ht="15" customHeight="1" x14ac:dyDescent="0.25">
      <c r="C93" s="22" t="s">
        <v>61</v>
      </c>
      <c r="D93" s="23">
        <v>8190</v>
      </c>
      <c r="E93" s="23">
        <v>9708</v>
      </c>
      <c r="F93" s="24">
        <v>11827</v>
      </c>
      <c r="G93" s="172">
        <f t="shared" ref="G93:L93" si="60">G118*G11</f>
        <v>13985.792136170719</v>
      </c>
      <c r="H93" s="172">
        <f t="shared" si="60"/>
        <v>16461.542092537173</v>
      </c>
      <c r="I93" s="172">
        <f t="shared" si="60"/>
        <v>19002.214153445344</v>
      </c>
      <c r="J93" s="172">
        <f t="shared" si="60"/>
        <v>22042.568417996597</v>
      </c>
      <c r="K93" s="172">
        <f t="shared" si="60"/>
        <v>25569.379364876051</v>
      </c>
      <c r="L93" s="172">
        <f t="shared" si="60"/>
        <v>29660.480063256215</v>
      </c>
      <c r="M93" s="198">
        <f>G93-F93</f>
        <v>2158.7921361707195</v>
      </c>
    </row>
    <row r="94" spans="3:13" ht="15" customHeight="1" x14ac:dyDescent="0.25">
      <c r="C94" s="30" t="s">
        <v>62</v>
      </c>
      <c r="D94" s="55">
        <f>SUM(D90:D93)</f>
        <v>87812</v>
      </c>
      <c r="E94" s="65">
        <f t="shared" ref="E94:L94" si="61">SUM(E90:E93)</f>
        <v>126385</v>
      </c>
      <c r="F94" s="66">
        <f t="shared" si="61"/>
        <v>142266</v>
      </c>
      <c r="G94" s="200">
        <f t="shared" ca="1" si="61"/>
        <v>171162.27637610812</v>
      </c>
      <c r="H94" s="200">
        <f t="shared" ca="1" si="61"/>
        <v>198947.55373515212</v>
      </c>
      <c r="I94" s="200">
        <f t="shared" ca="1" si="61"/>
        <v>227631.9763763448</v>
      </c>
      <c r="J94" s="200">
        <f t="shared" ca="1" si="61"/>
        <v>261718.34751283569</v>
      </c>
      <c r="K94" s="200">
        <f t="shared" ca="1" si="61"/>
        <v>299654.90429168218</v>
      </c>
      <c r="L94" s="200">
        <f t="shared" ca="1" si="61"/>
        <v>345518.3834701837</v>
      </c>
      <c r="M94" s="198">
        <f>SUM(M80:M93)</f>
        <v>16247.345980611957</v>
      </c>
    </row>
    <row r="95" spans="3:13" ht="15" customHeight="1" x14ac:dyDescent="0.25">
      <c r="C95" s="19" t="s">
        <v>63</v>
      </c>
      <c r="D95" s="33">
        <v>39791</v>
      </c>
      <c r="E95" s="33">
        <v>52573</v>
      </c>
      <c r="F95" s="34">
        <v>67651</v>
      </c>
      <c r="G95" s="173">
        <f>F95+G149</f>
        <v>55221</v>
      </c>
      <c r="H95" s="173">
        <f t="shared" ref="H95:L95" si="62">G95+H149</f>
        <v>47022</v>
      </c>
      <c r="I95" s="173">
        <f t="shared" si="62"/>
        <v>41277</v>
      </c>
      <c r="J95" s="173">
        <f t="shared" si="62"/>
        <v>36291</v>
      </c>
      <c r="K95" s="173">
        <f t="shared" si="62"/>
        <v>36291</v>
      </c>
      <c r="L95" s="173">
        <f t="shared" si="62"/>
        <v>36291</v>
      </c>
    </row>
    <row r="96" spans="3:13" ht="15" customHeight="1" x14ac:dyDescent="0.25">
      <c r="C96" s="19" t="s">
        <v>64</v>
      </c>
      <c r="D96" s="33">
        <v>23414</v>
      </c>
      <c r="E96" s="33">
        <v>31816</v>
      </c>
      <c r="F96" s="34">
        <v>48744</v>
      </c>
      <c r="G96" s="173">
        <f>F96+G150</f>
        <v>47251</v>
      </c>
      <c r="H96" s="173">
        <f t="shared" ref="H96:L96" si="63">G96+H150</f>
        <v>43691</v>
      </c>
      <c r="I96" s="173">
        <f t="shared" si="63"/>
        <v>37941</v>
      </c>
      <c r="J96" s="173">
        <f t="shared" si="63"/>
        <v>35691</v>
      </c>
      <c r="K96" s="173">
        <f t="shared" si="63"/>
        <v>32941</v>
      </c>
      <c r="L96" s="173">
        <f t="shared" si="63"/>
        <v>0</v>
      </c>
    </row>
    <row r="97" spans="3:13" ht="15" customHeight="1" x14ac:dyDescent="0.25">
      <c r="C97" s="22" t="s">
        <v>65</v>
      </c>
      <c r="D97" s="23">
        <v>12171</v>
      </c>
      <c r="E97" s="23">
        <v>17017</v>
      </c>
      <c r="F97" s="24">
        <v>23643</v>
      </c>
      <c r="G97" s="206">
        <f t="shared" ref="G97:L97" si="64">F97</f>
        <v>23643</v>
      </c>
      <c r="H97" s="206">
        <f t="shared" si="64"/>
        <v>23643</v>
      </c>
      <c r="I97" s="206">
        <f t="shared" si="64"/>
        <v>23643</v>
      </c>
      <c r="J97" s="206">
        <f t="shared" si="64"/>
        <v>23643</v>
      </c>
      <c r="K97" s="206">
        <f t="shared" si="64"/>
        <v>23643</v>
      </c>
      <c r="L97" s="206">
        <f t="shared" si="64"/>
        <v>23643</v>
      </c>
    </row>
    <row r="98" spans="3:13" ht="15" customHeight="1" x14ac:dyDescent="0.25">
      <c r="C98" s="30" t="s">
        <v>92</v>
      </c>
      <c r="D98" s="626">
        <f>SUM(D95:D97)+D94</f>
        <v>163188</v>
      </c>
      <c r="E98" s="65">
        <f t="shared" ref="E98:L98" si="65">E94+SUM(E95:E97)</f>
        <v>227791</v>
      </c>
      <c r="F98" s="66">
        <f t="shared" si="65"/>
        <v>282304</v>
      </c>
      <c r="G98" s="200">
        <f t="shared" ca="1" si="65"/>
        <v>297277.27637610812</v>
      </c>
      <c r="H98" s="200">
        <f t="shared" ca="1" si="65"/>
        <v>313303.55373515212</v>
      </c>
      <c r="I98" s="200">
        <f t="shared" ca="1" si="65"/>
        <v>330492.9763763448</v>
      </c>
      <c r="J98" s="200">
        <f t="shared" ca="1" si="65"/>
        <v>357343.34751283569</v>
      </c>
      <c r="K98" s="200">
        <f t="shared" ca="1" si="65"/>
        <v>392529.90429168218</v>
      </c>
      <c r="L98" s="200">
        <f t="shared" ca="1" si="65"/>
        <v>405452.3834701837</v>
      </c>
    </row>
    <row r="99" spans="3:13" ht="15" customHeight="1" x14ac:dyDescent="0.25">
      <c r="C99" s="26"/>
      <c r="E99" s="71"/>
      <c r="F99" s="72"/>
      <c r="G99" s="202"/>
      <c r="H99" s="202"/>
      <c r="I99" s="202"/>
      <c r="J99" s="202"/>
      <c r="K99" s="202"/>
      <c r="L99" s="202"/>
    </row>
    <row r="100" spans="3:13" ht="15" customHeight="1" x14ac:dyDescent="0.25">
      <c r="C100" s="30" t="s">
        <v>66</v>
      </c>
      <c r="E100" s="69"/>
      <c r="F100" s="70"/>
      <c r="G100" s="201"/>
      <c r="H100" s="201"/>
      <c r="I100" s="201"/>
      <c r="J100" s="201"/>
      <c r="K100" s="201"/>
      <c r="L100" s="201"/>
    </row>
    <row r="101" spans="3:13" ht="15" customHeight="1" x14ac:dyDescent="0.25">
      <c r="C101" s="19" t="s">
        <v>91</v>
      </c>
      <c r="D101" s="33">
        <v>5</v>
      </c>
      <c r="E101" s="33">
        <v>5</v>
      </c>
      <c r="F101" s="34">
        <v>5</v>
      </c>
      <c r="G101" s="207">
        <f>F101</f>
        <v>5</v>
      </c>
      <c r="H101" s="207">
        <f t="shared" ref="H101:L101" si="66">G101</f>
        <v>5</v>
      </c>
      <c r="I101" s="207">
        <f t="shared" si="66"/>
        <v>5</v>
      </c>
      <c r="J101" s="207">
        <f t="shared" si="66"/>
        <v>5</v>
      </c>
      <c r="K101" s="207">
        <f t="shared" si="66"/>
        <v>5</v>
      </c>
      <c r="L101" s="207">
        <f t="shared" si="66"/>
        <v>5</v>
      </c>
    </row>
    <row r="102" spans="3:13" ht="15" customHeight="1" x14ac:dyDescent="0.25">
      <c r="C102" s="19" t="s">
        <v>67</v>
      </c>
      <c r="D102" s="33">
        <v>-1837</v>
      </c>
      <c r="E102" s="33">
        <v>-1837</v>
      </c>
      <c r="F102" s="34">
        <v>-1837</v>
      </c>
      <c r="G102" s="35">
        <f t="shared" ref="G102:L102" si="67">F102+G153</f>
        <v>-1837</v>
      </c>
      <c r="H102" s="35">
        <f t="shared" si="67"/>
        <v>-1837</v>
      </c>
      <c r="I102" s="35">
        <f t="shared" si="67"/>
        <v>-1837</v>
      </c>
      <c r="J102" s="35">
        <f t="shared" si="67"/>
        <v>-1837</v>
      </c>
      <c r="K102" s="35">
        <f t="shared" si="67"/>
        <v>-1837</v>
      </c>
      <c r="L102" s="35">
        <f t="shared" si="67"/>
        <v>-1837</v>
      </c>
    </row>
    <row r="103" spans="3:13" ht="15" customHeight="1" x14ac:dyDescent="0.25">
      <c r="C103" s="19" t="s">
        <v>68</v>
      </c>
      <c r="D103" s="33">
        <v>33658</v>
      </c>
      <c r="E103" s="33">
        <v>42865</v>
      </c>
      <c r="F103" s="34">
        <v>55538</v>
      </c>
      <c r="G103" s="35">
        <f>F103+G130</f>
        <v>70936.81742434777</v>
      </c>
      <c r="H103" s="35">
        <f t="shared" ref="H103:L103" si="68">G103+H130</f>
        <v>88674.856771116873</v>
      </c>
      <c r="I103" s="35">
        <f t="shared" si="68"/>
        <v>108760.03740414487</v>
      </c>
      <c r="J103" s="35">
        <f t="shared" si="68"/>
        <v>131670.53344621882</v>
      </c>
      <c r="K103" s="35">
        <f t="shared" si="68"/>
        <v>157420.89549486394</v>
      </c>
      <c r="L103" s="35">
        <f t="shared" si="68"/>
        <v>187030.0581537142</v>
      </c>
    </row>
    <row r="104" spans="3:13" ht="15" customHeight="1" x14ac:dyDescent="0.25">
      <c r="C104" s="19" t="s">
        <v>69</v>
      </c>
      <c r="D104" s="33">
        <v>-986</v>
      </c>
      <c r="E104" s="33">
        <v>-180</v>
      </c>
      <c r="F104" s="34">
        <v>-1376</v>
      </c>
      <c r="G104" s="174">
        <f t="shared" ref="G104:L104" si="69">F104</f>
        <v>-1376</v>
      </c>
      <c r="H104" s="174">
        <f t="shared" si="69"/>
        <v>-1376</v>
      </c>
      <c r="I104" s="174">
        <f t="shared" si="69"/>
        <v>-1376</v>
      </c>
      <c r="J104" s="174">
        <f t="shared" si="69"/>
        <v>-1376</v>
      </c>
      <c r="K104" s="174">
        <f t="shared" si="69"/>
        <v>-1376</v>
      </c>
      <c r="L104" s="174">
        <f t="shared" si="69"/>
        <v>-1376</v>
      </c>
    </row>
    <row r="105" spans="3:13" ht="15" customHeight="1" x14ac:dyDescent="0.25">
      <c r="C105" s="22" t="s">
        <v>70</v>
      </c>
      <c r="D105" s="23">
        <v>31220</v>
      </c>
      <c r="E105" s="23">
        <v>52551</v>
      </c>
      <c r="F105" s="24">
        <v>85915</v>
      </c>
      <c r="G105" s="172">
        <f t="shared" ref="G105:L105" ca="1" si="70">F105+G126</f>
        <v>101465.40482480628</v>
      </c>
      <c r="H105" s="172">
        <f t="shared" ca="1" si="70"/>
        <v>127725.71891478616</v>
      </c>
      <c r="I105" s="172">
        <f t="shared" ca="1" si="70"/>
        <v>164594.29585448175</v>
      </c>
      <c r="J105" s="172">
        <f t="shared" ca="1" si="70"/>
        <v>215002.86418636737</v>
      </c>
      <c r="K105" s="172">
        <f t="shared" ca="1" si="70"/>
        <v>286182.42745067412</v>
      </c>
      <c r="L105" s="172">
        <f t="shared" ca="1" si="70"/>
        <v>376011.64852158586</v>
      </c>
    </row>
    <row r="106" spans="3:13" ht="15" customHeight="1" x14ac:dyDescent="0.25">
      <c r="C106" s="26" t="s">
        <v>71</v>
      </c>
      <c r="D106" s="100">
        <f>SUM(D101:D105)</f>
        <v>62060</v>
      </c>
      <c r="E106" s="67">
        <f t="shared" ref="E106:L106" si="71">SUM(E101:E105)</f>
        <v>93404</v>
      </c>
      <c r="F106" s="68">
        <f t="shared" si="71"/>
        <v>138245</v>
      </c>
      <c r="G106" s="199">
        <f t="shared" ca="1" si="71"/>
        <v>169194.22224915406</v>
      </c>
      <c r="H106" s="199">
        <f t="shared" ca="1" si="71"/>
        <v>213192.57568590302</v>
      </c>
      <c r="I106" s="199">
        <f t="shared" ca="1" si="71"/>
        <v>270146.33325862663</v>
      </c>
      <c r="J106" s="199">
        <f t="shared" ca="1" si="71"/>
        <v>343465.39763258619</v>
      </c>
      <c r="K106" s="199">
        <f t="shared" ca="1" si="71"/>
        <v>440395.32294553809</v>
      </c>
      <c r="L106" s="199">
        <f t="shared" ca="1" si="71"/>
        <v>559833.70667530003</v>
      </c>
    </row>
    <row r="107" spans="3:13" ht="15" customHeight="1" x14ac:dyDescent="0.25">
      <c r="C107" s="30" t="s">
        <v>72</v>
      </c>
      <c r="D107" s="626">
        <f>D106+D98</f>
        <v>225248</v>
      </c>
      <c r="E107" s="65">
        <f t="shared" ref="E107:L107" si="72">E98+E106</f>
        <v>321195</v>
      </c>
      <c r="F107" s="66">
        <f t="shared" si="72"/>
        <v>420549</v>
      </c>
      <c r="G107" s="200">
        <f t="shared" ca="1" si="72"/>
        <v>466471.49862526217</v>
      </c>
      <c r="H107" s="200">
        <f t="shared" ca="1" si="72"/>
        <v>526496.12942105508</v>
      </c>
      <c r="I107" s="200">
        <f t="shared" ca="1" si="72"/>
        <v>600639.30963497143</v>
      </c>
      <c r="J107" s="200">
        <f t="shared" ca="1" si="72"/>
        <v>700808.74514542194</v>
      </c>
      <c r="K107" s="200">
        <f t="shared" ca="1" si="72"/>
        <v>832925.22723722027</v>
      </c>
      <c r="L107" s="200">
        <f t="shared" ca="1" si="72"/>
        <v>965286.09014548373</v>
      </c>
    </row>
    <row r="108" spans="3:13" ht="15" customHeight="1" x14ac:dyDescent="0.25">
      <c r="F108" s="48"/>
      <c r="M108" s="29"/>
    </row>
    <row r="109" spans="3:13" ht="15" customHeight="1" x14ac:dyDescent="0.25">
      <c r="C109" s="11" t="s">
        <v>93</v>
      </c>
      <c r="D109" s="627">
        <f>D87-D107</f>
        <v>0</v>
      </c>
      <c r="E109" s="628">
        <f t="shared" ref="E109:L109" si="73">E107-E87</f>
        <v>0</v>
      </c>
      <c r="F109" s="629">
        <f t="shared" si="73"/>
        <v>0</v>
      </c>
      <c r="G109" s="628">
        <f t="shared" ca="1" si="73"/>
        <v>0</v>
      </c>
      <c r="H109" s="628">
        <f t="shared" ca="1" si="73"/>
        <v>0</v>
      </c>
      <c r="I109" s="628">
        <f t="shared" ca="1" si="73"/>
        <v>0</v>
      </c>
      <c r="J109" s="628">
        <f t="shared" ca="1" si="73"/>
        <v>0</v>
      </c>
      <c r="K109" s="628">
        <f t="shared" ca="1" si="73"/>
        <v>0</v>
      </c>
      <c r="L109" s="628">
        <f t="shared" ca="1" si="73"/>
        <v>0</v>
      </c>
    </row>
    <row r="110" spans="3:13" ht="15" customHeight="1" x14ac:dyDescent="0.25">
      <c r="C110" s="11" t="s">
        <v>93</v>
      </c>
      <c r="D110" s="630" t="str">
        <f t="shared" ref="D110:L110" si="74">IF(D109=0,"Check",D109)</f>
        <v>Check</v>
      </c>
      <c r="E110" s="630" t="str">
        <f t="shared" si="74"/>
        <v>Check</v>
      </c>
      <c r="F110" s="631" t="str">
        <f t="shared" si="74"/>
        <v>Check</v>
      </c>
      <c r="G110" s="630" t="str">
        <f t="shared" ca="1" si="74"/>
        <v>Check</v>
      </c>
      <c r="H110" s="630" t="str">
        <f t="shared" ca="1" si="74"/>
        <v>Check</v>
      </c>
      <c r="I110" s="630" t="str">
        <f t="shared" ca="1" si="74"/>
        <v>Check</v>
      </c>
      <c r="J110" s="630" t="str">
        <f t="shared" ca="1" si="74"/>
        <v>Check</v>
      </c>
      <c r="K110" s="630" t="str">
        <f t="shared" ca="1" si="74"/>
        <v>Check</v>
      </c>
      <c r="L110" s="630" t="str">
        <f t="shared" ca="1" si="74"/>
        <v>Check</v>
      </c>
    </row>
    <row r="111" spans="3:13" ht="15" customHeight="1" x14ac:dyDescent="0.25">
      <c r="F111" s="48"/>
    </row>
    <row r="112" spans="3:13" ht="15" customHeight="1" x14ac:dyDescent="0.25">
      <c r="F112" s="48"/>
    </row>
    <row r="113" spans="3:12" ht="15" customHeight="1" x14ac:dyDescent="0.25">
      <c r="C113" s="12" t="s">
        <v>96</v>
      </c>
      <c r="F113" s="48"/>
    </row>
    <row r="114" spans="3:12" ht="15" customHeight="1" x14ac:dyDescent="0.25">
      <c r="C114" s="59" t="s">
        <v>97</v>
      </c>
      <c r="D114" s="74">
        <f>-D80/D12*365</f>
        <v>45.195033104581483</v>
      </c>
      <c r="E114" s="74">
        <f>-E80/E12*365</f>
        <v>37.226379834295585</v>
      </c>
      <c r="F114" s="75">
        <f>-F80/F12*365</f>
        <v>43.744675851129458</v>
      </c>
      <c r="G114" s="191">
        <f>F114</f>
        <v>43.744675851129458</v>
      </c>
      <c r="H114" s="191">
        <f t="shared" ref="H114:L114" si="75">G114</f>
        <v>43.744675851129458</v>
      </c>
      <c r="I114" s="191">
        <f t="shared" si="75"/>
        <v>43.744675851129458</v>
      </c>
      <c r="J114" s="191">
        <f t="shared" si="75"/>
        <v>43.744675851129458</v>
      </c>
      <c r="K114" s="191">
        <f t="shared" si="75"/>
        <v>43.744675851129458</v>
      </c>
      <c r="L114" s="191">
        <f t="shared" si="75"/>
        <v>43.744675851129458</v>
      </c>
    </row>
    <row r="115" spans="3:12" ht="15" customHeight="1" x14ac:dyDescent="0.25">
      <c r="C115" s="59" t="s">
        <v>98</v>
      </c>
      <c r="D115" s="74">
        <f>D81/D11*365</f>
        <v>27.084649332316179</v>
      </c>
      <c r="E115" s="74">
        <f>E81/E11*365</f>
        <v>23.202966347548593</v>
      </c>
      <c r="F115" s="75">
        <f>F81/F11*365</f>
        <v>25.552688039299991</v>
      </c>
      <c r="G115" s="191">
        <f t="shared" ref="G115:L118" si="76">F115</f>
        <v>25.552688039299991</v>
      </c>
      <c r="H115" s="191">
        <f t="shared" si="76"/>
        <v>25.552688039299991</v>
      </c>
      <c r="I115" s="191">
        <f t="shared" si="76"/>
        <v>25.552688039299991</v>
      </c>
      <c r="J115" s="191">
        <f t="shared" si="76"/>
        <v>25.552688039299991</v>
      </c>
      <c r="K115" s="191">
        <f t="shared" si="76"/>
        <v>25.552688039299991</v>
      </c>
      <c r="L115" s="191">
        <f t="shared" si="76"/>
        <v>25.552688039299991</v>
      </c>
    </row>
    <row r="116" spans="3:12" ht="15" customHeight="1" x14ac:dyDescent="0.25">
      <c r="C116" s="59" t="s">
        <v>99</v>
      </c>
      <c r="D116" s="74">
        <f>-D90/D12*365</f>
        <v>104.03655398221535</v>
      </c>
      <c r="E116" s="74">
        <f>-E90/E12*365</f>
        <v>113.48452896826929</v>
      </c>
      <c r="F116" s="75">
        <f>-F90/F12*365</f>
        <v>105.42681314807743</v>
      </c>
      <c r="G116" s="191">
        <f t="shared" si="76"/>
        <v>105.42681314807743</v>
      </c>
      <c r="H116" s="191">
        <f t="shared" si="76"/>
        <v>105.42681314807743</v>
      </c>
      <c r="I116" s="191">
        <f t="shared" si="76"/>
        <v>105.42681314807743</v>
      </c>
      <c r="J116" s="191">
        <f t="shared" si="76"/>
        <v>105.42681314807743</v>
      </c>
      <c r="K116" s="191">
        <f t="shared" si="76"/>
        <v>105.42681314807743</v>
      </c>
      <c r="L116" s="191">
        <f t="shared" si="76"/>
        <v>105.42681314807743</v>
      </c>
    </row>
    <row r="117" spans="3:12" ht="15" customHeight="1" x14ac:dyDescent="0.25">
      <c r="C117" s="59" t="s">
        <v>100</v>
      </c>
      <c r="D117" s="74">
        <f>-D92/D20*365</f>
        <v>117.87779381751207</v>
      </c>
      <c r="E117" s="74">
        <f>-E92/E20*365</f>
        <v>123.91829733554859</v>
      </c>
      <c r="F117" s="75">
        <f>-F92/F20*365</f>
        <v>109.49006077671366</v>
      </c>
      <c r="G117" s="191">
        <f t="shared" si="76"/>
        <v>109.49006077671366</v>
      </c>
      <c r="H117" s="191">
        <f t="shared" si="76"/>
        <v>109.49006077671366</v>
      </c>
      <c r="I117" s="191">
        <f t="shared" si="76"/>
        <v>109.49006077671366</v>
      </c>
      <c r="J117" s="191">
        <f t="shared" si="76"/>
        <v>109.49006077671366</v>
      </c>
      <c r="K117" s="191">
        <f t="shared" si="76"/>
        <v>109.49006077671366</v>
      </c>
      <c r="L117" s="191">
        <f t="shared" si="76"/>
        <v>109.49006077671366</v>
      </c>
    </row>
    <row r="118" spans="3:12" ht="15" customHeight="1" x14ac:dyDescent="0.25">
      <c r="C118" s="59" t="s">
        <v>101</v>
      </c>
      <c r="D118" s="57">
        <f>D93/D11</f>
        <v>2.9195571113852032E-2</v>
      </c>
      <c r="E118" s="57">
        <f>E93/E11</f>
        <v>2.5146089767499689E-2</v>
      </c>
      <c r="F118" s="58">
        <f>F93/F11</f>
        <v>2.5173363529166364E-2</v>
      </c>
      <c r="G118" s="171">
        <f t="shared" si="76"/>
        <v>2.5173363529166364E-2</v>
      </c>
      <c r="H118" s="171">
        <f t="shared" si="76"/>
        <v>2.5173363529166364E-2</v>
      </c>
      <c r="I118" s="171">
        <f t="shared" si="76"/>
        <v>2.5173363529166364E-2</v>
      </c>
      <c r="J118" s="171">
        <f t="shared" si="76"/>
        <v>2.5173363529166364E-2</v>
      </c>
      <c r="K118" s="171">
        <f t="shared" si="76"/>
        <v>2.5173363529166364E-2</v>
      </c>
      <c r="L118" s="171">
        <f t="shared" si="76"/>
        <v>2.5173363529166364E-2</v>
      </c>
    </row>
    <row r="119" spans="3:12" ht="15" customHeight="1" thickBot="1" x14ac:dyDescent="0.3">
      <c r="C119" s="60"/>
      <c r="D119" s="60"/>
      <c r="E119" s="60"/>
      <c r="F119" s="76"/>
      <c r="G119" s="60"/>
      <c r="H119" s="60"/>
      <c r="I119" s="60"/>
      <c r="J119" s="60"/>
      <c r="K119" s="60"/>
      <c r="L119" s="60"/>
    </row>
    <row r="122" spans="3:12" ht="15" customHeight="1" x14ac:dyDescent="0.25">
      <c r="C122" s="12" t="s">
        <v>217</v>
      </c>
    </row>
    <row r="123" spans="3:12" ht="15" customHeight="1" x14ac:dyDescent="0.25">
      <c r="C123" s="11" t="s">
        <v>74</v>
      </c>
    </row>
    <row r="124" spans="3:12" ht="15" customHeight="1" x14ac:dyDescent="0.25">
      <c r="C124" s="13"/>
      <c r="D124" s="14" t="s">
        <v>73</v>
      </c>
      <c r="E124" s="14"/>
      <c r="F124" s="14"/>
      <c r="G124" s="14" t="s">
        <v>30</v>
      </c>
      <c r="H124" s="15"/>
      <c r="I124" s="15"/>
      <c r="J124" s="15"/>
      <c r="K124" s="15"/>
      <c r="L124" s="15"/>
    </row>
    <row r="125" spans="3:12" ht="15" customHeight="1" x14ac:dyDescent="0.25">
      <c r="C125" s="16"/>
      <c r="D125" s="17">
        <v>2019</v>
      </c>
      <c r="E125" s="17">
        <v>2020</v>
      </c>
      <c r="F125" s="17">
        <v>2021</v>
      </c>
      <c r="G125" s="18">
        <f t="shared" ref="G125:L125" si="77">F125+1</f>
        <v>2022</v>
      </c>
      <c r="H125" s="18">
        <f t="shared" si="77"/>
        <v>2023</v>
      </c>
      <c r="I125" s="18">
        <f t="shared" si="77"/>
        <v>2024</v>
      </c>
      <c r="J125" s="18">
        <f t="shared" si="77"/>
        <v>2025</v>
      </c>
      <c r="K125" s="18">
        <f t="shared" si="77"/>
        <v>2026</v>
      </c>
      <c r="L125" s="18">
        <f t="shared" si="77"/>
        <v>2027</v>
      </c>
    </row>
    <row r="126" spans="3:12" ht="15" customHeight="1" x14ac:dyDescent="0.25">
      <c r="C126" s="59" t="s">
        <v>45</v>
      </c>
      <c r="F126" s="48"/>
      <c r="G126" s="100">
        <f t="shared" ref="G126:L126" ca="1" si="78">G31</f>
        <v>15550.404824806279</v>
      </c>
      <c r="H126" s="100">
        <f t="shared" ca="1" si="78"/>
        <v>26260.314089979893</v>
      </c>
      <c r="I126" s="100">
        <f t="shared" ca="1" si="78"/>
        <v>36868.57693969558</v>
      </c>
      <c r="J126" s="100">
        <f t="shared" ca="1" si="78"/>
        <v>50408.56833188561</v>
      </c>
      <c r="K126" s="100">
        <f t="shared" ca="1" si="78"/>
        <v>71179.56326430678</v>
      </c>
      <c r="L126" s="100">
        <f t="shared" ca="1" si="78"/>
        <v>89829.221070911721</v>
      </c>
    </row>
    <row r="127" spans="3:12" ht="15" customHeight="1" x14ac:dyDescent="0.25">
      <c r="C127" s="59" t="s">
        <v>267</v>
      </c>
      <c r="F127" s="48"/>
      <c r="G127" s="100">
        <f>'Depreciation schedule'!G24</f>
        <v>51265.333333333336</v>
      </c>
      <c r="H127" s="100">
        <f>'Depreciation schedule'!H24</f>
        <v>61008.526315789473</v>
      </c>
      <c r="I127" s="100">
        <f>'Depreciation schedule'!I24</f>
        <v>68932.666666666672</v>
      </c>
      <c r="J127" s="100">
        <f>'Depreciation schedule'!J24</f>
        <v>76909.599999999991</v>
      </c>
      <c r="K127" s="100">
        <f>'Depreciation schedule'!K24</f>
        <v>84064.909090909088</v>
      </c>
      <c r="L127" s="100">
        <f>'Depreciation schedule'!L24</f>
        <v>91627.666666666672</v>
      </c>
    </row>
    <row r="128" spans="3:12" ht="15" customHeight="1" x14ac:dyDescent="0.25">
      <c r="C128" s="59" t="s">
        <v>215</v>
      </c>
      <c r="F128" s="48"/>
      <c r="G128" s="193">
        <f>'Depreciation schedule'!G28</f>
        <v>528</v>
      </c>
      <c r="H128" s="106">
        <f>'Depreciation schedule'!H28</f>
        <v>452</v>
      </c>
      <c r="I128" s="106">
        <f>'Depreciation schedule'!I28</f>
        <v>378</v>
      </c>
      <c r="J128" s="106">
        <f>'Depreciation schedule'!J28</f>
        <v>318</v>
      </c>
      <c r="K128" s="106">
        <f>'Depreciation schedule'!K28</f>
        <v>290</v>
      </c>
      <c r="L128" s="106">
        <f>'Depreciation schedule'!L28</f>
        <v>1994</v>
      </c>
    </row>
    <row r="129" spans="3:14" ht="15" customHeight="1" x14ac:dyDescent="0.25">
      <c r="C129" s="59" t="s">
        <v>83</v>
      </c>
      <c r="D129" s="101">
        <v>21789</v>
      </c>
      <c r="E129" s="101">
        <v>25251</v>
      </c>
      <c r="F129" s="111">
        <v>34296</v>
      </c>
      <c r="G129" s="100">
        <f>G128+G127</f>
        <v>51793.333333333336</v>
      </c>
      <c r="H129" s="100">
        <f t="shared" ref="H129:L129" si="79">H128+H127</f>
        <v>61460.526315789473</v>
      </c>
      <c r="I129" s="100">
        <f t="shared" si="79"/>
        <v>69310.666666666672</v>
      </c>
      <c r="J129" s="100">
        <f t="shared" si="79"/>
        <v>77227.599999999991</v>
      </c>
      <c r="K129" s="100">
        <f t="shared" si="79"/>
        <v>84354.909090909088</v>
      </c>
      <c r="L129" s="100">
        <f t="shared" si="79"/>
        <v>93621.666666666672</v>
      </c>
    </row>
    <row r="130" spans="3:14" ht="15" customHeight="1" x14ac:dyDescent="0.25">
      <c r="C130" s="59" t="s">
        <v>218</v>
      </c>
      <c r="D130" s="101">
        <v>6864</v>
      </c>
      <c r="E130" s="101">
        <v>9208</v>
      </c>
      <c r="F130" s="111">
        <v>12757</v>
      </c>
      <c r="G130" s="210">
        <f>G48</f>
        <v>15398.817424347766</v>
      </c>
      <c r="H130" s="210">
        <f t="shared" ref="H130:L130" si="80">H48</f>
        <v>17738.039346769103</v>
      </c>
      <c r="I130" s="210">
        <f t="shared" si="80"/>
        <v>20085.180633027998</v>
      </c>
      <c r="J130" s="210">
        <f t="shared" si="80"/>
        <v>22910.496042073937</v>
      </c>
      <c r="K130" s="210">
        <f t="shared" si="80"/>
        <v>25750.362048645133</v>
      </c>
      <c r="L130" s="210">
        <f t="shared" si="80"/>
        <v>29609.162658850255</v>
      </c>
    </row>
    <row r="131" spans="3:14" ht="15" customHeight="1" x14ac:dyDescent="0.3">
      <c r="C131" s="633" t="s">
        <v>566</v>
      </c>
      <c r="D131" s="101">
        <v>164</v>
      </c>
      <c r="E131" s="101">
        <v>-71</v>
      </c>
      <c r="F131" s="111">
        <v>137</v>
      </c>
      <c r="G131" s="101">
        <v>0</v>
      </c>
      <c r="H131" s="101">
        <v>0</v>
      </c>
      <c r="I131" s="101">
        <v>0</v>
      </c>
      <c r="J131" s="101">
        <v>0</v>
      </c>
      <c r="K131" s="101">
        <v>0</v>
      </c>
      <c r="L131" s="101">
        <v>0</v>
      </c>
    </row>
    <row r="132" spans="3:14" ht="15" customHeight="1" x14ac:dyDescent="0.25">
      <c r="C132" s="59" t="s">
        <v>219</v>
      </c>
      <c r="D132" s="101">
        <v>-249</v>
      </c>
      <c r="E132" s="101">
        <v>-2582</v>
      </c>
      <c r="F132" s="111">
        <v>-14306</v>
      </c>
      <c r="G132" s="101">
        <v>0</v>
      </c>
      <c r="H132" s="101">
        <v>0</v>
      </c>
      <c r="I132" s="101">
        <v>0</v>
      </c>
      <c r="J132" s="101">
        <v>0</v>
      </c>
      <c r="K132" s="101">
        <v>0</v>
      </c>
      <c r="L132" s="101">
        <v>0</v>
      </c>
    </row>
    <row r="133" spans="3:14" ht="15" customHeight="1" x14ac:dyDescent="0.25">
      <c r="C133" s="59" t="s">
        <v>220</v>
      </c>
      <c r="D133" s="101">
        <v>796</v>
      </c>
      <c r="E133" s="101">
        <v>-554</v>
      </c>
      <c r="F133" s="111">
        <v>-310</v>
      </c>
      <c r="G133" s="101">
        <v>0</v>
      </c>
      <c r="H133" s="101">
        <v>0</v>
      </c>
      <c r="I133" s="101">
        <v>0</v>
      </c>
      <c r="J133" s="101">
        <v>0</v>
      </c>
      <c r="K133" s="101">
        <v>0</v>
      </c>
      <c r="L133" s="101">
        <v>0</v>
      </c>
    </row>
    <row r="134" spans="3:14" ht="15" customHeight="1" x14ac:dyDescent="0.3">
      <c r="C134" s="632" t="s">
        <v>221</v>
      </c>
      <c r="D134" s="101"/>
      <c r="E134" s="101"/>
      <c r="F134" s="111"/>
      <c r="G134" s="100"/>
      <c r="H134" s="100"/>
      <c r="I134" s="100"/>
      <c r="J134" s="100"/>
      <c r="K134" s="100"/>
      <c r="L134" s="100"/>
    </row>
    <row r="135" spans="3:14" ht="15" customHeight="1" x14ac:dyDescent="0.25">
      <c r="C135" s="109" t="str">
        <f>C114</f>
        <v>Inventories days</v>
      </c>
      <c r="D135" s="101"/>
      <c r="E135" s="101"/>
      <c r="F135" s="111"/>
      <c r="G135" s="192">
        <f>F80-G80</f>
        <v>-6645.3088388214892</v>
      </c>
      <c r="H135" s="100">
        <f t="shared" ref="H135:L135" si="81">G80-H80</f>
        <v>-6562.3827159768553</v>
      </c>
      <c r="I135" s="100">
        <f t="shared" si="81"/>
        <v>-6895.190052580554</v>
      </c>
      <c r="J135" s="100">
        <f t="shared" si="81"/>
        <v>-8124.0321926974575</v>
      </c>
      <c r="K135" s="100">
        <f t="shared" si="81"/>
        <v>-9495.2385528119121</v>
      </c>
      <c r="L135" s="100">
        <f t="shared" si="81"/>
        <v>-10834.310656413567</v>
      </c>
    </row>
    <row r="136" spans="3:14" ht="15" customHeight="1" x14ac:dyDescent="0.25">
      <c r="C136" s="109" t="str">
        <f>C115</f>
        <v>Account receivables days</v>
      </c>
      <c r="D136" s="101"/>
      <c r="E136" s="101"/>
      <c r="F136" s="111"/>
      <c r="G136" s="192">
        <f>F81-G81</f>
        <v>-6003.6215566746541</v>
      </c>
      <c r="H136" s="100">
        <f t="shared" ref="H136:L136" si="82">G81-H81</f>
        <v>-6885.0842829837711</v>
      </c>
      <c r="I136" s="100">
        <f t="shared" si="82"/>
        <v>-7065.6332760066507</v>
      </c>
      <c r="J136" s="100">
        <f t="shared" si="82"/>
        <v>-8455.2542585064002</v>
      </c>
      <c r="K136" s="100">
        <f t="shared" si="82"/>
        <v>-9808.0949398674347</v>
      </c>
      <c r="L136" s="100">
        <f t="shared" si="82"/>
        <v>-11377.390130246218</v>
      </c>
    </row>
    <row r="137" spans="3:14" ht="15" customHeight="1" x14ac:dyDescent="0.25">
      <c r="C137" s="109" t="str">
        <f>C116</f>
        <v>Accounts payable days</v>
      </c>
      <c r="D137" s="101"/>
      <c r="E137" s="101"/>
      <c r="F137" s="111"/>
      <c r="G137" s="192">
        <f>G90-F90</f>
        <v>16015.520051993066</v>
      </c>
      <c r="H137" s="100">
        <f t="shared" ref="H137:L137" si="83">H90-G90</f>
        <v>15815.664030931468</v>
      </c>
      <c r="I137" s="100">
        <f t="shared" si="83"/>
        <v>16617.7460262315</v>
      </c>
      <c r="J137" s="100">
        <f t="shared" si="83"/>
        <v>19579.315821273078</v>
      </c>
      <c r="K137" s="100">
        <f t="shared" si="83"/>
        <v>22883.990365146921</v>
      </c>
      <c r="L137" s="100">
        <f t="shared" si="83"/>
        <v>26111.219775616366</v>
      </c>
    </row>
    <row r="138" spans="3:14" ht="15" customHeight="1" x14ac:dyDescent="0.25">
      <c r="C138" s="109" t="str">
        <f>C117</f>
        <v>Accrued expenses and other days</v>
      </c>
      <c r="D138" s="101"/>
      <c r="E138" s="101"/>
      <c r="F138" s="111"/>
      <c r="G138" s="192">
        <f>G92-F92</f>
        <v>10721.964187944315</v>
      </c>
      <c r="H138" s="100">
        <f t="shared" ref="H138:L138" si="84">H92-G92</f>
        <v>9493.8633717460834</v>
      </c>
      <c r="I138" s="100">
        <f t="shared" si="84"/>
        <v>9526.0045540530118</v>
      </c>
      <c r="J138" s="100">
        <f t="shared" si="84"/>
        <v>11466.701050666568</v>
      </c>
      <c r="K138" s="100">
        <f t="shared" si="84"/>
        <v>11525.755466820076</v>
      </c>
      <c r="L138" s="100">
        <f t="shared" si="84"/>
        <v>15661.158704505011</v>
      </c>
    </row>
    <row r="139" spans="3:14" ht="15" customHeight="1" x14ac:dyDescent="0.25">
      <c r="C139" s="109" t="str">
        <f>C118</f>
        <v>Unearned revenue days</v>
      </c>
      <c r="D139" s="101"/>
      <c r="E139" s="101"/>
      <c r="F139" s="111"/>
      <c r="G139" s="193">
        <f>G93-F93</f>
        <v>2158.7921361707195</v>
      </c>
      <c r="H139" s="106">
        <f t="shared" ref="H139:L139" si="85">H93-G93</f>
        <v>2475.7499563664533</v>
      </c>
      <c r="I139" s="106">
        <f t="shared" si="85"/>
        <v>2540.6720609081713</v>
      </c>
      <c r="J139" s="106">
        <f t="shared" si="85"/>
        <v>3040.3542645512534</v>
      </c>
      <c r="K139" s="106">
        <f t="shared" si="85"/>
        <v>3526.8109468794537</v>
      </c>
      <c r="L139" s="106">
        <f t="shared" si="85"/>
        <v>4091.1006983801635</v>
      </c>
      <c r="N139" s="188" t="s">
        <v>274</v>
      </c>
    </row>
    <row r="140" spans="3:14" ht="15" customHeight="1" x14ac:dyDescent="0.25">
      <c r="C140" s="25" t="s">
        <v>222</v>
      </c>
      <c r="D140" s="107"/>
      <c r="E140" s="107"/>
      <c r="F140" s="112"/>
      <c r="G140" s="203">
        <f>SUM(G135:G139)</f>
        <v>16247.345980611957</v>
      </c>
      <c r="H140" s="204">
        <f t="shared" ref="H140:L140" si="86">SUM(H135:H139)</f>
        <v>14337.810360083378</v>
      </c>
      <c r="I140" s="204">
        <f t="shared" si="86"/>
        <v>14723.599312605478</v>
      </c>
      <c r="J140" s="204">
        <f t="shared" si="86"/>
        <v>17507.084685287042</v>
      </c>
      <c r="K140" s="204">
        <f t="shared" si="86"/>
        <v>18633.223286167104</v>
      </c>
      <c r="L140" s="204">
        <f t="shared" si="86"/>
        <v>23651.778391841755</v>
      </c>
      <c r="N140" s="216">
        <f>MEDIAN(G140:L140)</f>
        <v>16877.215332949498</v>
      </c>
    </row>
    <row r="141" spans="3:14" ht="15" customHeight="1" x14ac:dyDescent="0.25">
      <c r="C141" s="12" t="s">
        <v>223</v>
      </c>
      <c r="D141" s="194"/>
      <c r="E141" s="194"/>
      <c r="F141" s="195"/>
      <c r="G141" s="196">
        <f t="shared" ref="G141:L141" ca="1" si="87">G126+G127+G128+G140+SUM(G130:G133)</f>
        <v>98989.901563099353</v>
      </c>
      <c r="H141" s="196">
        <f t="shared" ca="1" si="87"/>
        <v>119796.69011262184</v>
      </c>
      <c r="I141" s="196">
        <f t="shared" ca="1" si="87"/>
        <v>140988.02355199575</v>
      </c>
      <c r="J141" s="196">
        <f t="shared" ca="1" si="87"/>
        <v>168053.74905924656</v>
      </c>
      <c r="K141" s="196">
        <f t="shared" ca="1" si="87"/>
        <v>199918.0576900281</v>
      </c>
      <c r="L141" s="196">
        <f t="shared" ca="1" si="87"/>
        <v>236711.82878827042</v>
      </c>
    </row>
    <row r="142" spans="3:14" ht="15" customHeight="1" x14ac:dyDescent="0.25">
      <c r="C142" s="12"/>
      <c r="D142" s="101"/>
      <c r="E142" s="101"/>
      <c r="F142" s="111"/>
      <c r="G142" s="100"/>
      <c r="H142" s="100"/>
      <c r="I142" s="100"/>
      <c r="J142" s="100"/>
      <c r="K142" s="100"/>
      <c r="L142" s="100"/>
    </row>
    <row r="143" spans="3:14" ht="15" customHeight="1" x14ac:dyDescent="0.25">
      <c r="C143" s="12" t="s">
        <v>224</v>
      </c>
      <c r="D143" s="101"/>
      <c r="E143" s="101"/>
      <c r="F143" s="111"/>
      <c r="G143" s="100"/>
      <c r="H143" s="100"/>
      <c r="I143" s="100"/>
      <c r="J143" s="100"/>
      <c r="K143" s="100"/>
      <c r="L143" s="100"/>
    </row>
    <row r="144" spans="3:14" ht="15" customHeight="1" x14ac:dyDescent="0.3">
      <c r="C144" s="633" t="s">
        <v>567</v>
      </c>
      <c r="D144" s="107">
        <v>-16861</v>
      </c>
      <c r="E144" s="107">
        <v>-40140</v>
      </c>
      <c r="F144" s="112">
        <v>-61053</v>
      </c>
      <c r="G144" s="243">
        <f>-'Depreciation schedule'!G12</f>
        <v>-46942</v>
      </c>
      <c r="H144" s="236">
        <f>-'Depreciation schedule'!H12</f>
        <v>-49542</v>
      </c>
      <c r="I144" s="236">
        <f>-'Depreciation schedule'!I12</f>
        <v>-53431.999999999993</v>
      </c>
      <c r="J144" s="236">
        <f>-'Depreciation schedule'!J12</f>
        <v>-56541.999999999993</v>
      </c>
      <c r="K144" s="236">
        <f>-'Depreciation schedule'!K12</f>
        <v>-60000</v>
      </c>
      <c r="L144" s="236">
        <f>-'Depreciation schedule'!L12</f>
        <v>-69599.999999999985</v>
      </c>
    </row>
    <row r="145" spans="3:12" ht="15" customHeight="1" x14ac:dyDescent="0.25">
      <c r="C145" s="12" t="s">
        <v>228</v>
      </c>
      <c r="D145" s="12"/>
      <c r="E145" s="12"/>
      <c r="F145" s="197"/>
      <c r="G145" s="196">
        <f>G144</f>
        <v>-46942</v>
      </c>
      <c r="H145" s="196">
        <f t="shared" ref="H145:L145" si="88">H144</f>
        <v>-49542</v>
      </c>
      <c r="I145" s="196">
        <f t="shared" si="88"/>
        <v>-53431.999999999993</v>
      </c>
      <c r="J145" s="196">
        <f t="shared" si="88"/>
        <v>-56541.999999999993</v>
      </c>
      <c r="K145" s="196">
        <f t="shared" si="88"/>
        <v>-60000</v>
      </c>
      <c r="L145" s="196">
        <f t="shared" si="88"/>
        <v>-69599.999999999985</v>
      </c>
    </row>
    <row r="146" spans="3:12" ht="15" customHeight="1" x14ac:dyDescent="0.25">
      <c r="F146" s="48"/>
      <c r="G146" s="100"/>
      <c r="H146" s="100"/>
      <c r="I146" s="100"/>
      <c r="J146" s="100"/>
      <c r="K146" s="100"/>
      <c r="L146" s="100"/>
    </row>
    <row r="147" spans="3:12" ht="15" customHeight="1" x14ac:dyDescent="0.25">
      <c r="C147" s="12" t="s">
        <v>225</v>
      </c>
      <c r="F147" s="48"/>
      <c r="G147" s="100"/>
      <c r="H147" s="100"/>
      <c r="I147" s="100"/>
      <c r="J147" s="100"/>
      <c r="K147" s="100"/>
      <c r="L147" s="100"/>
    </row>
    <row r="148" spans="3:12" ht="15" customHeight="1" x14ac:dyDescent="0.25">
      <c r="C148" s="59" t="s">
        <v>278</v>
      </c>
      <c r="F148" s="48"/>
      <c r="G148" s="210">
        <f ca="1">G197</f>
        <v>0</v>
      </c>
      <c r="H148" s="210">
        <v>0</v>
      </c>
      <c r="I148" s="210">
        <v>0</v>
      </c>
      <c r="J148" s="210">
        <v>0</v>
      </c>
      <c r="K148" s="210">
        <v>0</v>
      </c>
      <c r="L148" s="210">
        <v>0</v>
      </c>
    </row>
    <row r="149" spans="3:12" ht="15" customHeight="1" x14ac:dyDescent="0.25">
      <c r="C149" s="59" t="s">
        <v>227</v>
      </c>
      <c r="F149" s="48"/>
      <c r="G149" s="210">
        <f>G199</f>
        <v>-12430</v>
      </c>
      <c r="H149" s="210">
        <f t="shared" ref="H149:L149" si="89">H199</f>
        <v>-8199</v>
      </c>
      <c r="I149" s="210">
        <f t="shared" si="89"/>
        <v>-5745</v>
      </c>
      <c r="J149" s="210">
        <f t="shared" si="89"/>
        <v>-4986</v>
      </c>
      <c r="K149" s="210">
        <f t="shared" si="89"/>
        <v>0</v>
      </c>
      <c r="L149" s="210">
        <f t="shared" si="89"/>
        <v>0</v>
      </c>
    </row>
    <row r="150" spans="3:12" ht="15" customHeight="1" x14ac:dyDescent="0.25">
      <c r="C150" s="59" t="s">
        <v>226</v>
      </c>
      <c r="F150" s="48"/>
      <c r="G150" s="210">
        <f>G201</f>
        <v>-1493</v>
      </c>
      <c r="H150" s="210">
        <f t="shared" ref="H150:L150" si="90">H201</f>
        <v>-3560</v>
      </c>
      <c r="I150" s="210">
        <f t="shared" si="90"/>
        <v>-5750</v>
      </c>
      <c r="J150" s="210">
        <f t="shared" si="90"/>
        <v>-2250</v>
      </c>
      <c r="K150" s="210">
        <f t="shared" si="90"/>
        <v>-2750</v>
      </c>
      <c r="L150" s="210">
        <f t="shared" si="90"/>
        <v>-32941</v>
      </c>
    </row>
    <row r="151" spans="3:12" ht="15" customHeight="1" x14ac:dyDescent="0.25">
      <c r="C151" s="59" t="s">
        <v>229</v>
      </c>
      <c r="F151" s="48"/>
      <c r="G151" s="100">
        <v>0</v>
      </c>
      <c r="H151" s="100">
        <v>0</v>
      </c>
      <c r="I151" s="100">
        <v>0</v>
      </c>
      <c r="J151" s="100">
        <v>0</v>
      </c>
      <c r="K151" s="100">
        <v>0</v>
      </c>
      <c r="L151" s="100">
        <v>0</v>
      </c>
    </row>
    <row r="152" spans="3:12" ht="15" customHeight="1" x14ac:dyDescent="0.25">
      <c r="C152" s="59" t="s">
        <v>230</v>
      </c>
      <c r="F152" s="48"/>
      <c r="G152" s="100">
        <v>0</v>
      </c>
      <c r="H152" s="100">
        <v>0</v>
      </c>
      <c r="I152" s="100">
        <v>0</v>
      </c>
      <c r="J152" s="100">
        <v>0</v>
      </c>
      <c r="K152" s="100">
        <v>0</v>
      </c>
      <c r="L152" s="100">
        <v>0</v>
      </c>
    </row>
    <row r="153" spans="3:12" ht="15" customHeight="1" x14ac:dyDescent="0.25">
      <c r="C153" s="59" t="s">
        <v>231</v>
      </c>
      <c r="F153" s="48"/>
      <c r="G153" s="210">
        <f>G181</f>
        <v>0</v>
      </c>
      <c r="H153" s="210">
        <f t="shared" ref="H153:L153" si="91">H181</f>
        <v>0</v>
      </c>
      <c r="I153" s="210">
        <f t="shared" si="91"/>
        <v>0</v>
      </c>
      <c r="J153" s="210">
        <f t="shared" si="91"/>
        <v>0</v>
      </c>
      <c r="K153" s="210">
        <f t="shared" si="91"/>
        <v>0</v>
      </c>
      <c r="L153" s="210">
        <f t="shared" si="91"/>
        <v>0</v>
      </c>
    </row>
    <row r="154" spans="3:12" ht="15" customHeight="1" x14ac:dyDescent="0.25">
      <c r="C154" s="84" t="s">
        <v>232</v>
      </c>
      <c r="D154" s="25"/>
      <c r="E154" s="25"/>
      <c r="F154" s="97"/>
      <c r="G154" s="193">
        <v>0</v>
      </c>
      <c r="H154" s="106">
        <v>0</v>
      </c>
      <c r="I154" s="106">
        <v>0</v>
      </c>
      <c r="J154" s="106">
        <v>0</v>
      </c>
      <c r="K154" s="106">
        <v>0</v>
      </c>
      <c r="L154" s="106">
        <v>0</v>
      </c>
    </row>
    <row r="155" spans="3:12" ht="15" customHeight="1" x14ac:dyDescent="0.25">
      <c r="C155" s="12" t="s">
        <v>233</v>
      </c>
      <c r="F155" s="48"/>
      <c r="G155" s="196">
        <f ca="1">SUM(G148:G154)</f>
        <v>-13923</v>
      </c>
      <c r="H155" s="196">
        <f t="shared" ref="H155:L155" si="92">SUM(H148:H154)</f>
        <v>-11759</v>
      </c>
      <c r="I155" s="196">
        <f t="shared" si="92"/>
        <v>-11495</v>
      </c>
      <c r="J155" s="196">
        <f t="shared" si="92"/>
        <v>-7236</v>
      </c>
      <c r="K155" s="196">
        <f t="shared" si="92"/>
        <v>-2750</v>
      </c>
      <c r="L155" s="196">
        <f t="shared" si="92"/>
        <v>-32941</v>
      </c>
    </row>
    <row r="156" spans="3:12" ht="15" customHeight="1" x14ac:dyDescent="0.25">
      <c r="C156" s="12"/>
      <c r="F156" s="48"/>
      <c r="G156" s="100"/>
      <c r="H156" s="100"/>
      <c r="I156" s="100"/>
      <c r="J156" s="100"/>
      <c r="K156" s="100"/>
      <c r="L156" s="100"/>
    </row>
    <row r="157" spans="3:12" ht="15" customHeight="1" x14ac:dyDescent="0.25">
      <c r="C157" s="11" t="s">
        <v>234</v>
      </c>
      <c r="F157" s="48"/>
      <c r="G157" s="100">
        <v>0</v>
      </c>
      <c r="H157" s="100">
        <v>0</v>
      </c>
      <c r="I157" s="100">
        <v>0</v>
      </c>
      <c r="J157" s="100">
        <v>0</v>
      </c>
      <c r="K157" s="100">
        <v>0</v>
      </c>
      <c r="L157" s="100">
        <v>0</v>
      </c>
    </row>
    <row r="158" spans="3:12" ht="15" customHeight="1" x14ac:dyDescent="0.25">
      <c r="C158" s="12"/>
      <c r="D158" s="25"/>
      <c r="E158" s="25"/>
      <c r="F158" s="97"/>
      <c r="G158" s="193"/>
      <c r="H158" s="106"/>
      <c r="I158" s="106"/>
      <c r="J158" s="106"/>
      <c r="K158" s="106"/>
      <c r="L158" s="106"/>
    </row>
    <row r="159" spans="3:12" ht="15" customHeight="1" x14ac:dyDescent="0.25">
      <c r="C159" s="639" t="s">
        <v>235</v>
      </c>
      <c r="F159" s="48"/>
      <c r="G159" s="100">
        <f t="shared" ref="G159:L159" ca="1" si="93">G141+G145+G155+G157</f>
        <v>38124.901563099353</v>
      </c>
      <c r="H159" s="100">
        <f t="shared" ca="1" si="93"/>
        <v>58495.690112621844</v>
      </c>
      <c r="I159" s="100">
        <f t="shared" ca="1" si="93"/>
        <v>76061.02355199575</v>
      </c>
      <c r="J159" s="100">
        <f t="shared" ca="1" si="93"/>
        <v>104275.74905924656</v>
      </c>
      <c r="K159" s="100">
        <f t="shared" ca="1" si="93"/>
        <v>137168.0576900281</v>
      </c>
      <c r="L159" s="100">
        <f t="shared" ca="1" si="93"/>
        <v>134170.82878827042</v>
      </c>
    </row>
    <row r="160" spans="3:12" ht="15" customHeight="1" x14ac:dyDescent="0.25">
      <c r="C160" s="12"/>
      <c r="F160" s="48"/>
    </row>
    <row r="161" spans="3:13" ht="15" customHeight="1" x14ac:dyDescent="0.25">
      <c r="C161" s="12" t="s">
        <v>236</v>
      </c>
      <c r="F161" s="98">
        <f>F78</f>
        <v>36220</v>
      </c>
      <c r="G161" s="103">
        <f t="shared" ref="G161:L161" ca="1" si="94">F161+G159</f>
        <v>74344.901563099353</v>
      </c>
      <c r="H161" s="103">
        <f t="shared" ca="1" si="94"/>
        <v>132840.5916757212</v>
      </c>
      <c r="I161" s="103">
        <f t="shared" ca="1" si="94"/>
        <v>208901.61522771695</v>
      </c>
      <c r="J161" s="103">
        <f t="shared" ca="1" si="94"/>
        <v>313177.36428696348</v>
      </c>
      <c r="K161" s="103">
        <f t="shared" ca="1" si="94"/>
        <v>450345.42197699158</v>
      </c>
      <c r="L161" s="103">
        <f t="shared" ca="1" si="94"/>
        <v>584516.25076526194</v>
      </c>
    </row>
    <row r="162" spans="3:13" ht="15" customHeight="1" x14ac:dyDescent="0.25">
      <c r="C162" s="11" t="s">
        <v>93</v>
      </c>
      <c r="F162" s="264">
        <f t="shared" ref="F162" si="95">F161-F78</f>
        <v>0</v>
      </c>
      <c r="G162" s="205">
        <f t="shared" ref="G162:L162" ca="1" si="96">G161-G78</f>
        <v>0</v>
      </c>
      <c r="H162" s="205">
        <f t="shared" ca="1" si="96"/>
        <v>0</v>
      </c>
      <c r="I162" s="205">
        <f t="shared" ca="1" si="96"/>
        <v>0</v>
      </c>
      <c r="J162" s="205">
        <f t="shared" ca="1" si="96"/>
        <v>0</v>
      </c>
      <c r="K162" s="205">
        <f t="shared" ca="1" si="96"/>
        <v>0</v>
      </c>
      <c r="L162" s="205">
        <f t="shared" ca="1" si="96"/>
        <v>0</v>
      </c>
    </row>
    <row r="163" spans="3:13" ht="15" customHeight="1" x14ac:dyDescent="0.25">
      <c r="C163" s="12"/>
      <c r="F163" s="98"/>
      <c r="G163" s="103"/>
      <c r="H163" s="103"/>
      <c r="I163" s="103"/>
      <c r="J163" s="103"/>
      <c r="K163" s="103"/>
      <c r="L163" s="103"/>
    </row>
    <row r="164" spans="3:13" ht="15" customHeight="1" x14ac:dyDescent="0.25">
      <c r="C164" s="635" t="s">
        <v>270</v>
      </c>
      <c r="D164" s="636"/>
      <c r="E164" s="636"/>
      <c r="F164" s="637"/>
      <c r="G164" s="638">
        <f t="shared" ref="G164:L164" ca="1" si="97">G141+G144</f>
        <v>52047.901563099353</v>
      </c>
      <c r="H164" s="638">
        <f t="shared" ca="1" si="97"/>
        <v>70254.690112621844</v>
      </c>
      <c r="I164" s="638">
        <f t="shared" ca="1" si="97"/>
        <v>87556.02355199575</v>
      </c>
      <c r="J164" s="638">
        <f t="shared" ca="1" si="97"/>
        <v>111511.74905924656</v>
      </c>
      <c r="K164" s="638">
        <f t="shared" ca="1" si="97"/>
        <v>139918.0576900281</v>
      </c>
      <c r="L164" s="638">
        <f t="shared" ca="1" si="97"/>
        <v>167111.82878827042</v>
      </c>
    </row>
    <row r="165" spans="3:13" ht="15" customHeight="1" x14ac:dyDescent="0.25">
      <c r="C165" s="12"/>
      <c r="F165" s="98"/>
      <c r="G165" s="103"/>
      <c r="H165" s="103"/>
      <c r="I165" s="103"/>
      <c r="J165" s="103"/>
      <c r="K165" s="103"/>
      <c r="L165" s="103"/>
    </row>
    <row r="166" spans="3:13" ht="1.2" customHeight="1" thickBot="1" x14ac:dyDescent="0.3">
      <c r="C166" s="110"/>
      <c r="D166" s="60"/>
      <c r="E166" s="60"/>
      <c r="F166" s="60"/>
      <c r="G166" s="60"/>
      <c r="H166" s="60"/>
      <c r="I166" s="60"/>
      <c r="J166" s="60"/>
      <c r="K166" s="60"/>
      <c r="L166" s="60"/>
    </row>
    <row r="167" spans="3:13" ht="15" customHeight="1" x14ac:dyDescent="0.25">
      <c r="C167" s="12"/>
    </row>
    <row r="169" spans="3:13" ht="15" customHeight="1" x14ac:dyDescent="0.25">
      <c r="C169" s="12" t="s">
        <v>102</v>
      </c>
    </row>
    <row r="170" spans="3:13" ht="15" customHeight="1" x14ac:dyDescent="0.25">
      <c r="C170" s="11" t="s">
        <v>74</v>
      </c>
    </row>
    <row r="171" spans="3:13" ht="15" customHeight="1" x14ac:dyDescent="0.25">
      <c r="C171" s="13"/>
      <c r="D171" s="14" t="s">
        <v>73</v>
      </c>
      <c r="E171" s="14"/>
      <c r="F171" s="14"/>
      <c r="G171" s="14" t="s">
        <v>30</v>
      </c>
      <c r="H171" s="15"/>
      <c r="I171" s="15"/>
      <c r="J171" s="15"/>
      <c r="K171" s="15"/>
      <c r="L171" s="15"/>
    </row>
    <row r="172" spans="3:13" ht="15" customHeight="1" x14ac:dyDescent="0.25">
      <c r="C172" s="16"/>
      <c r="D172" s="17">
        <v>2017</v>
      </c>
      <c r="E172" s="17">
        <v>2018</v>
      </c>
      <c r="F172" s="17">
        <v>2019</v>
      </c>
      <c r="G172" s="18">
        <f t="shared" ref="G172:L172" si="98">F172+1</f>
        <v>2020</v>
      </c>
      <c r="H172" s="18">
        <f t="shared" si="98"/>
        <v>2021</v>
      </c>
      <c r="I172" s="18">
        <f t="shared" si="98"/>
        <v>2022</v>
      </c>
      <c r="J172" s="18">
        <f t="shared" si="98"/>
        <v>2023</v>
      </c>
      <c r="K172" s="18">
        <f t="shared" si="98"/>
        <v>2024</v>
      </c>
      <c r="L172" s="18">
        <f t="shared" si="98"/>
        <v>2025</v>
      </c>
    </row>
    <row r="173" spans="3:13" ht="15" customHeight="1" x14ac:dyDescent="0.25">
      <c r="C173" s="11" t="s">
        <v>104</v>
      </c>
      <c r="F173" s="77"/>
    </row>
    <row r="174" spans="3:13" ht="15" customHeight="1" x14ac:dyDescent="0.25">
      <c r="C174" s="59" t="s">
        <v>105</v>
      </c>
      <c r="E174" s="78"/>
      <c r="F174" s="79"/>
      <c r="G174" s="80">
        <f>F177</f>
        <v>506</v>
      </c>
      <c r="H174" s="80">
        <f t="shared" ref="H174:L174" si="99">G177</f>
        <v>506</v>
      </c>
      <c r="I174" s="80">
        <f t="shared" si="99"/>
        <v>506</v>
      </c>
      <c r="J174" s="80">
        <f t="shared" si="99"/>
        <v>506</v>
      </c>
      <c r="K174" s="80">
        <f t="shared" si="99"/>
        <v>506</v>
      </c>
      <c r="L174" s="80">
        <f t="shared" si="99"/>
        <v>506</v>
      </c>
      <c r="M174" s="80"/>
    </row>
    <row r="175" spans="3:13" ht="15" customHeight="1" x14ac:dyDescent="0.25">
      <c r="C175" s="59" t="s">
        <v>106</v>
      </c>
      <c r="D175" s="81"/>
      <c r="E175" s="81"/>
      <c r="F175" s="82"/>
      <c r="G175" s="208">
        <v>0</v>
      </c>
      <c r="H175" s="208">
        <f>H181/G184</f>
        <v>0</v>
      </c>
      <c r="I175" s="208">
        <v>0</v>
      </c>
      <c r="J175" s="208">
        <v>0</v>
      </c>
      <c r="K175" s="208">
        <v>0</v>
      </c>
      <c r="L175" s="208">
        <v>0</v>
      </c>
      <c r="M175" s="83"/>
    </row>
    <row r="176" spans="3:13" ht="15" customHeight="1" x14ac:dyDescent="0.25">
      <c r="C176" s="84" t="s">
        <v>107</v>
      </c>
      <c r="D176" s="85"/>
      <c r="E176" s="85"/>
      <c r="F176" s="86"/>
      <c r="G176" s="107">
        <v>0</v>
      </c>
      <c r="H176" s="107">
        <v>0</v>
      </c>
      <c r="I176" s="107">
        <v>0</v>
      </c>
      <c r="J176" s="107">
        <v>0</v>
      </c>
      <c r="K176" s="107">
        <v>0</v>
      </c>
      <c r="L176" s="107">
        <v>0</v>
      </c>
      <c r="M176" s="83"/>
    </row>
    <row r="177" spans="3:13" ht="15" customHeight="1" x14ac:dyDescent="0.25">
      <c r="C177" s="12" t="s">
        <v>108</v>
      </c>
      <c r="D177" s="80"/>
      <c r="E177" s="80"/>
      <c r="F177" s="87">
        <f>F38</f>
        <v>506</v>
      </c>
      <c r="G177" s="78">
        <f>SUM(G174:G176)</f>
        <v>506</v>
      </c>
      <c r="H177" s="78">
        <f t="shared" ref="H177:L177" si="100">SUM(H174:H176)</f>
        <v>506</v>
      </c>
      <c r="I177" s="78">
        <f t="shared" si="100"/>
        <v>506</v>
      </c>
      <c r="J177" s="78">
        <f t="shared" si="100"/>
        <v>506</v>
      </c>
      <c r="K177" s="78">
        <f t="shared" si="100"/>
        <v>506</v>
      </c>
      <c r="L177" s="78">
        <f t="shared" si="100"/>
        <v>506</v>
      </c>
      <c r="M177" s="78"/>
    </row>
    <row r="178" spans="3:13" ht="15" customHeight="1" x14ac:dyDescent="0.25">
      <c r="C178" s="59" t="s">
        <v>109</v>
      </c>
      <c r="E178" s="88"/>
      <c r="F178" s="89"/>
      <c r="G178" s="78">
        <f>AVERAGE(G174,G177)</f>
        <v>506</v>
      </c>
      <c r="H178" s="78">
        <f t="shared" ref="H178:L178" si="101">AVERAGE(H174,H177)</f>
        <v>506</v>
      </c>
      <c r="I178" s="78">
        <f t="shared" si="101"/>
        <v>506</v>
      </c>
      <c r="J178" s="78">
        <f t="shared" si="101"/>
        <v>506</v>
      </c>
      <c r="K178" s="78">
        <f t="shared" si="101"/>
        <v>506</v>
      </c>
      <c r="L178" s="78">
        <f t="shared" si="101"/>
        <v>506</v>
      </c>
      <c r="M178" s="78"/>
    </row>
    <row r="179" spans="3:13" ht="15" customHeight="1" x14ac:dyDescent="0.25">
      <c r="F179" s="48"/>
    </row>
    <row r="180" spans="3:13" ht="15" customHeight="1" x14ac:dyDescent="0.25">
      <c r="C180" s="11" t="s">
        <v>110</v>
      </c>
      <c r="F180" s="48"/>
      <c r="G180" s="210">
        <f>F182</f>
        <v>5000</v>
      </c>
      <c r="H180" s="210">
        <f t="shared" ref="H180:L180" si="102">G182</f>
        <v>5000</v>
      </c>
      <c r="I180" s="210">
        <f t="shared" si="102"/>
        <v>5000</v>
      </c>
      <c r="J180" s="210">
        <f t="shared" si="102"/>
        <v>5000</v>
      </c>
      <c r="K180" s="210">
        <f t="shared" si="102"/>
        <v>5000</v>
      </c>
      <c r="L180" s="210">
        <f t="shared" si="102"/>
        <v>5000</v>
      </c>
      <c r="M180" s="90"/>
    </row>
    <row r="181" spans="3:13" ht="15" customHeight="1" x14ac:dyDescent="0.25">
      <c r="C181" s="25" t="s">
        <v>111</v>
      </c>
      <c r="D181" s="91"/>
      <c r="E181" s="91"/>
      <c r="F181" s="92"/>
      <c r="G181" s="107">
        <v>0</v>
      </c>
      <c r="H181" s="107">
        <v>0</v>
      </c>
      <c r="I181" s="107">
        <v>0</v>
      </c>
      <c r="J181" s="107">
        <v>0</v>
      </c>
      <c r="K181" s="107">
        <v>0</v>
      </c>
      <c r="L181" s="107">
        <v>0</v>
      </c>
      <c r="M181" s="93"/>
    </row>
    <row r="182" spans="3:13" ht="15" customHeight="1" x14ac:dyDescent="0.25">
      <c r="C182" s="12" t="s">
        <v>112</v>
      </c>
      <c r="F182" s="52">
        <v>5000</v>
      </c>
      <c r="G182" s="100">
        <f>SUM(G180:G181)</f>
        <v>5000</v>
      </c>
      <c r="H182" s="100">
        <f t="shared" ref="H182:L182" si="103">SUM(H180:H181)</f>
        <v>5000</v>
      </c>
      <c r="I182" s="100">
        <f t="shared" si="103"/>
        <v>5000</v>
      </c>
      <c r="J182" s="100">
        <f t="shared" si="103"/>
        <v>5000</v>
      </c>
      <c r="K182" s="100">
        <f t="shared" si="103"/>
        <v>5000</v>
      </c>
      <c r="L182" s="100">
        <f t="shared" si="103"/>
        <v>5000</v>
      </c>
      <c r="M182" s="93"/>
    </row>
    <row r="183" spans="3:13" ht="15" customHeight="1" x14ac:dyDescent="0.25">
      <c r="F183" s="48"/>
    </row>
    <row r="184" spans="3:13" ht="15" customHeight="1" x14ac:dyDescent="0.25">
      <c r="C184" s="11" t="s">
        <v>113</v>
      </c>
      <c r="D184" s="94"/>
      <c r="E184" s="94"/>
      <c r="F184" s="95"/>
      <c r="G184" s="634">
        <f>AMZN!F21</f>
        <v>142.57</v>
      </c>
      <c r="H184" s="96"/>
      <c r="I184" s="96"/>
      <c r="J184" s="96"/>
      <c r="K184" s="96"/>
      <c r="L184" s="96"/>
      <c r="M184" s="96"/>
    </row>
    <row r="185" spans="3:13" ht="15" customHeight="1" thickBot="1" x14ac:dyDescent="0.3">
      <c r="C185" s="60" t="s">
        <v>114</v>
      </c>
      <c r="D185" s="60"/>
      <c r="E185" s="60"/>
      <c r="F185" s="76"/>
      <c r="G185" s="60"/>
      <c r="H185" s="60"/>
      <c r="I185" s="60"/>
      <c r="J185" s="60"/>
      <c r="K185" s="60"/>
      <c r="L185" s="60"/>
    </row>
    <row r="187" spans="3:13" ht="15" customHeight="1" x14ac:dyDescent="0.25">
      <c r="C187" s="12" t="s">
        <v>103</v>
      </c>
    </row>
    <row r="188" spans="3:13" ht="15" customHeight="1" x14ac:dyDescent="0.25">
      <c r="C188" s="11" t="s">
        <v>74</v>
      </c>
    </row>
    <row r="189" spans="3:13" ht="15" customHeight="1" x14ac:dyDescent="0.25">
      <c r="C189" s="13"/>
      <c r="D189" s="14" t="s">
        <v>73</v>
      </c>
      <c r="E189" s="14"/>
      <c r="F189" s="14"/>
      <c r="G189" s="14" t="s">
        <v>30</v>
      </c>
      <c r="H189" s="15"/>
      <c r="I189" s="15"/>
      <c r="J189" s="15"/>
      <c r="K189" s="15"/>
      <c r="L189" s="15"/>
    </row>
    <row r="190" spans="3:13" ht="15" customHeight="1" x14ac:dyDescent="0.25">
      <c r="C190" s="16"/>
      <c r="D190" s="17">
        <v>2019</v>
      </c>
      <c r="E190" s="17">
        <v>2020</v>
      </c>
      <c r="F190" s="17">
        <v>2021</v>
      </c>
      <c r="G190" s="18">
        <f t="shared" ref="G190:L190" si="104">F190+1</f>
        <v>2022</v>
      </c>
      <c r="H190" s="18">
        <f t="shared" si="104"/>
        <v>2023</v>
      </c>
      <c r="I190" s="18">
        <f t="shared" si="104"/>
        <v>2024</v>
      </c>
      <c r="J190" s="18">
        <f t="shared" si="104"/>
        <v>2025</v>
      </c>
      <c r="K190" s="18">
        <f t="shared" si="104"/>
        <v>2026</v>
      </c>
      <c r="L190" s="18">
        <f t="shared" si="104"/>
        <v>2027</v>
      </c>
    </row>
    <row r="191" spans="3:13" ht="15" customHeight="1" x14ac:dyDescent="0.25">
      <c r="C191" s="59" t="s">
        <v>115</v>
      </c>
      <c r="F191" s="99"/>
      <c r="G191" s="210">
        <f t="shared" ref="G191:L191" si="105">F202</f>
        <v>36220</v>
      </c>
      <c r="H191" s="210">
        <f t="shared" ca="1" si="105"/>
        <v>74344.901563099353</v>
      </c>
      <c r="I191" s="210">
        <f t="shared" ca="1" si="105"/>
        <v>132840.5916757212</v>
      </c>
      <c r="J191" s="210">
        <f t="shared" ca="1" si="105"/>
        <v>208901.61522771695</v>
      </c>
      <c r="K191" s="210">
        <f t="shared" ca="1" si="105"/>
        <v>313177.36428696348</v>
      </c>
      <c r="L191" s="210">
        <f t="shared" ca="1" si="105"/>
        <v>450345.42197699158</v>
      </c>
    </row>
    <row r="192" spans="3:13" ht="15" customHeight="1" x14ac:dyDescent="0.25">
      <c r="C192" s="59" t="s">
        <v>116</v>
      </c>
      <c r="F192" s="99"/>
      <c r="G192" s="210">
        <f t="shared" ref="G192:L192" ca="1" si="106">G164</f>
        <v>52047.901563099353</v>
      </c>
      <c r="H192" s="210">
        <f t="shared" ca="1" si="106"/>
        <v>70254.690112621844</v>
      </c>
      <c r="I192" s="210">
        <f t="shared" ca="1" si="106"/>
        <v>87556.02355199575</v>
      </c>
      <c r="J192" s="210">
        <f t="shared" ca="1" si="106"/>
        <v>111511.74905924656</v>
      </c>
      <c r="K192" s="210">
        <f t="shared" ca="1" si="106"/>
        <v>139918.0576900281</v>
      </c>
      <c r="L192" s="210">
        <f t="shared" ca="1" si="106"/>
        <v>167111.82878827042</v>
      </c>
    </row>
    <row r="193" spans="3:12" ht="15" customHeight="1" x14ac:dyDescent="0.25">
      <c r="C193" s="59" t="s">
        <v>117</v>
      </c>
      <c r="F193" s="99"/>
      <c r="G193" s="210">
        <f>-$N$140</f>
        <v>-16877.215332949498</v>
      </c>
      <c r="H193" s="210">
        <f t="shared" ref="H193:L193" si="107">-$N$140</f>
        <v>-16877.215332949498</v>
      </c>
      <c r="I193" s="210">
        <f t="shared" si="107"/>
        <v>-16877.215332949498</v>
      </c>
      <c r="J193" s="210">
        <f t="shared" si="107"/>
        <v>-16877.215332949498</v>
      </c>
      <c r="K193" s="210">
        <f t="shared" si="107"/>
        <v>-16877.215332949498</v>
      </c>
      <c r="L193" s="210">
        <f t="shared" si="107"/>
        <v>-16877.215332949498</v>
      </c>
    </row>
    <row r="194" spans="3:12" ht="15" customHeight="1" x14ac:dyDescent="0.25">
      <c r="C194" s="59" t="s">
        <v>118</v>
      </c>
      <c r="F194" s="99"/>
      <c r="G194" s="210">
        <f>G151</f>
        <v>0</v>
      </c>
      <c r="H194" s="210">
        <f t="shared" ref="H194:L194" si="108">H151</f>
        <v>0</v>
      </c>
      <c r="I194" s="210">
        <f t="shared" si="108"/>
        <v>0</v>
      </c>
      <c r="J194" s="210">
        <f t="shared" si="108"/>
        <v>0</v>
      </c>
      <c r="K194" s="210">
        <f t="shared" si="108"/>
        <v>0</v>
      </c>
      <c r="L194" s="210">
        <f t="shared" si="108"/>
        <v>0</v>
      </c>
    </row>
    <row r="195" spans="3:12" ht="15" customHeight="1" x14ac:dyDescent="0.25">
      <c r="C195" s="84" t="s">
        <v>275</v>
      </c>
      <c r="D195" s="25"/>
      <c r="E195" s="25"/>
      <c r="F195" s="105"/>
      <c r="G195" s="106">
        <f>G152+G153</f>
        <v>0</v>
      </c>
      <c r="H195" s="106">
        <f t="shared" ref="H195:L195" si="109">H152+H153</f>
        <v>0</v>
      </c>
      <c r="I195" s="106">
        <f t="shared" si="109"/>
        <v>0</v>
      </c>
      <c r="J195" s="106">
        <f t="shared" si="109"/>
        <v>0</v>
      </c>
      <c r="K195" s="106">
        <f t="shared" si="109"/>
        <v>0</v>
      </c>
      <c r="L195" s="106">
        <f t="shared" si="109"/>
        <v>0</v>
      </c>
    </row>
    <row r="196" spans="3:12" ht="15" customHeight="1" x14ac:dyDescent="0.25">
      <c r="C196" s="11" t="s">
        <v>119</v>
      </c>
      <c r="F196" s="99"/>
      <c r="G196" s="100">
        <f t="shared" ref="G196:L196" ca="1" si="110">SUM(G191:G195)</f>
        <v>71390.686230149848</v>
      </c>
      <c r="H196" s="100">
        <f t="shared" ca="1" si="110"/>
        <v>127722.37634277169</v>
      </c>
      <c r="I196" s="100">
        <f t="shared" ca="1" si="110"/>
        <v>203519.39989476744</v>
      </c>
      <c r="J196" s="100">
        <f t="shared" ca="1" si="110"/>
        <v>303536.148954014</v>
      </c>
      <c r="K196" s="100">
        <f t="shared" ca="1" si="110"/>
        <v>436218.2066440421</v>
      </c>
      <c r="L196" s="100">
        <f t="shared" ca="1" si="110"/>
        <v>600580.0354323124</v>
      </c>
    </row>
    <row r="197" spans="3:12" ht="15" customHeight="1" x14ac:dyDescent="0.25">
      <c r="C197" s="84" t="s">
        <v>279</v>
      </c>
      <c r="D197" s="25"/>
      <c r="E197" s="25"/>
      <c r="F197" s="105"/>
      <c r="G197" s="106">
        <f t="shared" ref="G197:L197" ca="1" si="111">G206+G207</f>
        <v>0</v>
      </c>
      <c r="H197" s="106">
        <f t="shared" ca="1" si="111"/>
        <v>0</v>
      </c>
      <c r="I197" s="106">
        <f t="shared" ca="1" si="111"/>
        <v>0</v>
      </c>
      <c r="J197" s="106">
        <f t="shared" ca="1" si="111"/>
        <v>0</v>
      </c>
      <c r="K197" s="106">
        <f t="shared" ca="1" si="111"/>
        <v>0</v>
      </c>
      <c r="L197" s="106">
        <f t="shared" ca="1" si="111"/>
        <v>0</v>
      </c>
    </row>
    <row r="198" spans="3:12" ht="15" customHeight="1" x14ac:dyDescent="0.25">
      <c r="C198" s="11" t="s">
        <v>280</v>
      </c>
      <c r="F198" s="99"/>
      <c r="G198" s="100">
        <f t="shared" ref="G198:L198" ca="1" si="112">G196+G197</f>
        <v>71390.686230149848</v>
      </c>
      <c r="H198" s="100">
        <f t="shared" ca="1" si="112"/>
        <v>127722.37634277169</v>
      </c>
      <c r="I198" s="100">
        <f t="shared" ca="1" si="112"/>
        <v>203519.39989476744</v>
      </c>
      <c r="J198" s="100">
        <f t="shared" ca="1" si="112"/>
        <v>303536.148954014</v>
      </c>
      <c r="K198" s="100">
        <f t="shared" ca="1" si="112"/>
        <v>436218.2066440421</v>
      </c>
      <c r="L198" s="100">
        <f t="shared" ca="1" si="112"/>
        <v>600580.0354323124</v>
      </c>
    </row>
    <row r="199" spans="3:12" ht="15" customHeight="1" x14ac:dyDescent="0.25">
      <c r="C199" s="84" t="s">
        <v>281</v>
      </c>
      <c r="D199" s="25"/>
      <c r="E199" s="25"/>
      <c r="F199" s="105"/>
      <c r="G199" s="236">
        <f>G215</f>
        <v>-12430</v>
      </c>
      <c r="H199" s="236">
        <f t="shared" ref="H199:L199" si="113">H215</f>
        <v>-8199</v>
      </c>
      <c r="I199" s="236">
        <f t="shared" si="113"/>
        <v>-5745</v>
      </c>
      <c r="J199" s="236">
        <f t="shared" si="113"/>
        <v>-4986</v>
      </c>
      <c r="K199" s="236">
        <f t="shared" si="113"/>
        <v>0</v>
      </c>
      <c r="L199" s="236">
        <f t="shared" si="113"/>
        <v>0</v>
      </c>
    </row>
    <row r="200" spans="3:12" ht="15" customHeight="1" x14ac:dyDescent="0.25">
      <c r="C200" s="11" t="s">
        <v>283</v>
      </c>
      <c r="F200" s="99"/>
      <c r="G200" s="100">
        <f t="shared" ref="G200:L200" ca="1" si="114">G198+G199</f>
        <v>58960.686230149848</v>
      </c>
      <c r="H200" s="100">
        <f t="shared" ca="1" si="114"/>
        <v>119523.37634277169</v>
      </c>
      <c r="I200" s="100">
        <f t="shared" ca="1" si="114"/>
        <v>197774.39989476744</v>
      </c>
      <c r="J200" s="100">
        <f t="shared" ca="1" si="114"/>
        <v>298550.148954014</v>
      </c>
      <c r="K200" s="100">
        <f t="shared" ca="1" si="114"/>
        <v>436218.2066440421</v>
      </c>
      <c r="L200" s="100">
        <f t="shared" ca="1" si="114"/>
        <v>600580.0354323124</v>
      </c>
    </row>
    <row r="201" spans="3:12" ht="15" customHeight="1" x14ac:dyDescent="0.25">
      <c r="C201" s="217" t="s">
        <v>284</v>
      </c>
      <c r="D201" s="218"/>
      <c r="E201" s="218"/>
      <c r="F201" s="219"/>
      <c r="G201" s="220">
        <f>G223+G224</f>
        <v>-1493</v>
      </c>
      <c r="H201" s="220">
        <f t="shared" ref="H201:L201" si="115">H223+H224</f>
        <v>-3560</v>
      </c>
      <c r="I201" s="220">
        <f t="shared" si="115"/>
        <v>-5750</v>
      </c>
      <c r="J201" s="220">
        <f t="shared" si="115"/>
        <v>-2250</v>
      </c>
      <c r="K201" s="220">
        <f t="shared" si="115"/>
        <v>-2750</v>
      </c>
      <c r="L201" s="220">
        <f t="shared" si="115"/>
        <v>-32941</v>
      </c>
    </row>
    <row r="202" spans="3:12" ht="15" customHeight="1" x14ac:dyDescent="0.25">
      <c r="C202" s="12" t="s">
        <v>120</v>
      </c>
      <c r="D202" s="12"/>
      <c r="E202" s="12"/>
      <c r="F202" s="102">
        <f>F78</f>
        <v>36220</v>
      </c>
      <c r="G202" s="55">
        <f t="shared" ref="G202:L202" ca="1" si="116">G200+G201-G193</f>
        <v>74344.901563099353</v>
      </c>
      <c r="H202" s="55">
        <f t="shared" ca="1" si="116"/>
        <v>132840.5916757212</v>
      </c>
      <c r="I202" s="55">
        <f t="shared" ca="1" si="116"/>
        <v>208901.61522771695</v>
      </c>
      <c r="J202" s="55">
        <f t="shared" ca="1" si="116"/>
        <v>313177.36428696348</v>
      </c>
      <c r="K202" s="55">
        <f t="shared" ca="1" si="116"/>
        <v>450345.42197699158</v>
      </c>
      <c r="L202" s="55">
        <f t="shared" ca="1" si="116"/>
        <v>584516.25076526194</v>
      </c>
    </row>
    <row r="203" spans="3:12" ht="15" customHeight="1" x14ac:dyDescent="0.25">
      <c r="C203" s="12"/>
      <c r="F203" s="102"/>
      <c r="G203" s="103"/>
      <c r="H203" s="103"/>
      <c r="I203" s="103"/>
      <c r="J203" s="103"/>
      <c r="K203" s="103"/>
      <c r="L203" s="103"/>
    </row>
    <row r="204" spans="3:12" ht="15" customHeight="1" x14ac:dyDescent="0.25">
      <c r="C204" s="12" t="s">
        <v>276</v>
      </c>
      <c r="F204" s="99"/>
      <c r="G204" s="100"/>
      <c r="H204" s="100"/>
      <c r="I204" s="100"/>
      <c r="J204" s="100"/>
      <c r="K204" s="100"/>
      <c r="L204" s="100"/>
    </row>
    <row r="205" spans="3:12" ht="15" customHeight="1" x14ac:dyDescent="0.25">
      <c r="C205" s="59" t="s">
        <v>121</v>
      </c>
      <c r="F205" s="99"/>
      <c r="G205" s="104">
        <f t="shared" ref="G205:L205" si="117">F208</f>
        <v>0</v>
      </c>
      <c r="H205" s="104">
        <f t="shared" ca="1" si="117"/>
        <v>0</v>
      </c>
      <c r="I205" s="104">
        <f t="shared" ca="1" si="117"/>
        <v>0</v>
      </c>
      <c r="J205" s="104">
        <f t="shared" ca="1" si="117"/>
        <v>0</v>
      </c>
      <c r="K205" s="104">
        <f t="shared" ca="1" si="117"/>
        <v>0</v>
      </c>
      <c r="L205" s="104">
        <f t="shared" ca="1" si="117"/>
        <v>0</v>
      </c>
    </row>
    <row r="206" spans="3:12" ht="15" customHeight="1" x14ac:dyDescent="0.25">
      <c r="C206" s="59" t="s">
        <v>122</v>
      </c>
      <c r="F206" s="99"/>
      <c r="G206" s="100">
        <f t="shared" ref="G206:L206" ca="1" si="118">IF(G196&lt;0,-G196,0)</f>
        <v>0</v>
      </c>
      <c r="H206" s="100">
        <f t="shared" ca="1" si="118"/>
        <v>0</v>
      </c>
      <c r="I206" s="100">
        <f t="shared" ca="1" si="118"/>
        <v>0</v>
      </c>
      <c r="J206" s="100">
        <f t="shared" ca="1" si="118"/>
        <v>0</v>
      </c>
      <c r="K206" s="100">
        <f t="shared" ca="1" si="118"/>
        <v>0</v>
      </c>
      <c r="L206" s="100">
        <f t="shared" ca="1" si="118"/>
        <v>0</v>
      </c>
    </row>
    <row r="207" spans="3:12" ht="15" customHeight="1" x14ac:dyDescent="0.25">
      <c r="C207" s="217" t="s">
        <v>135</v>
      </c>
      <c r="D207" s="218"/>
      <c r="E207" s="218"/>
      <c r="F207" s="219"/>
      <c r="G207" s="220">
        <f t="shared" ref="G207:L207" ca="1" si="119">IF(G206=0,-MIN(G196,G205),0)</f>
        <v>0</v>
      </c>
      <c r="H207" s="220">
        <f t="shared" ca="1" si="119"/>
        <v>0</v>
      </c>
      <c r="I207" s="220">
        <f t="shared" ca="1" si="119"/>
        <v>0</v>
      </c>
      <c r="J207" s="220">
        <f t="shared" ca="1" si="119"/>
        <v>0</v>
      </c>
      <c r="K207" s="220">
        <f t="shared" ca="1" si="119"/>
        <v>0</v>
      </c>
      <c r="L207" s="220">
        <f t="shared" ca="1" si="119"/>
        <v>0</v>
      </c>
    </row>
    <row r="208" spans="3:12" ht="15" customHeight="1" x14ac:dyDescent="0.25">
      <c r="C208" s="12" t="s">
        <v>123</v>
      </c>
      <c r="F208" s="175">
        <f>F91</f>
        <v>0</v>
      </c>
      <c r="G208" s="100">
        <f t="shared" ref="G208:L208" ca="1" si="120">SUM(G205:G207)</f>
        <v>0</v>
      </c>
      <c r="H208" s="100">
        <f t="shared" ca="1" si="120"/>
        <v>0</v>
      </c>
      <c r="I208" s="100">
        <f t="shared" ca="1" si="120"/>
        <v>0</v>
      </c>
      <c r="J208" s="100">
        <f t="shared" ca="1" si="120"/>
        <v>0</v>
      </c>
      <c r="K208" s="100">
        <f t="shared" ca="1" si="120"/>
        <v>0</v>
      </c>
      <c r="L208" s="100">
        <f t="shared" ca="1" si="120"/>
        <v>0</v>
      </c>
    </row>
    <row r="209" spans="3:12" ht="15" customHeight="1" x14ac:dyDescent="0.25">
      <c r="C209" s="59" t="s">
        <v>124</v>
      </c>
      <c r="F209" s="99"/>
      <c r="G209" s="100">
        <f t="shared" ref="G209:L209" ca="1" si="121">AVERAGE(G205,G208)</f>
        <v>0</v>
      </c>
      <c r="H209" s="100">
        <f t="shared" ca="1" si="121"/>
        <v>0</v>
      </c>
      <c r="I209" s="100">
        <f t="shared" ca="1" si="121"/>
        <v>0</v>
      </c>
      <c r="J209" s="100">
        <f t="shared" ca="1" si="121"/>
        <v>0</v>
      </c>
      <c r="K209" s="100">
        <f t="shared" ca="1" si="121"/>
        <v>0</v>
      </c>
      <c r="L209" s="100">
        <f t="shared" ca="1" si="121"/>
        <v>0</v>
      </c>
    </row>
    <row r="210" spans="3:12" ht="15" customHeight="1" x14ac:dyDescent="0.25">
      <c r="C210" s="59" t="s">
        <v>125</v>
      </c>
      <c r="F210" s="99"/>
      <c r="G210" s="223">
        <v>0.03</v>
      </c>
      <c r="H210" s="100"/>
      <c r="I210" s="100"/>
      <c r="J210" s="100"/>
      <c r="K210" s="100"/>
      <c r="L210" s="100"/>
    </row>
    <row r="211" spans="3:12" ht="15" customHeight="1" x14ac:dyDescent="0.25">
      <c r="C211" s="59" t="s">
        <v>126</v>
      </c>
      <c r="F211" s="99"/>
      <c r="G211" s="100">
        <f t="shared" ref="G211:L211" ca="1" si="122">G209*$G$210</f>
        <v>0</v>
      </c>
      <c r="H211" s="100">
        <f t="shared" ca="1" si="122"/>
        <v>0</v>
      </c>
      <c r="I211" s="100">
        <f t="shared" ca="1" si="122"/>
        <v>0</v>
      </c>
      <c r="J211" s="100">
        <f t="shared" ca="1" si="122"/>
        <v>0</v>
      </c>
      <c r="K211" s="100">
        <f t="shared" ca="1" si="122"/>
        <v>0</v>
      </c>
      <c r="L211" s="100">
        <f t="shared" ca="1" si="122"/>
        <v>0</v>
      </c>
    </row>
    <row r="212" spans="3:12" ht="15" customHeight="1" x14ac:dyDescent="0.25">
      <c r="C212" s="59"/>
      <c r="F212" s="99"/>
      <c r="G212" s="100"/>
      <c r="H212" s="100"/>
      <c r="I212" s="100"/>
      <c r="J212" s="100"/>
      <c r="K212" s="100"/>
      <c r="L212" s="100"/>
    </row>
    <row r="213" spans="3:12" ht="15" customHeight="1" x14ac:dyDescent="0.25">
      <c r="C213" s="12" t="s">
        <v>136</v>
      </c>
      <c r="F213" s="99"/>
      <c r="G213" s="100"/>
      <c r="H213" s="100"/>
      <c r="I213" s="100"/>
      <c r="J213" s="100"/>
      <c r="K213" s="100"/>
      <c r="L213" s="100"/>
    </row>
    <row r="214" spans="3:12" ht="15" customHeight="1" x14ac:dyDescent="0.25">
      <c r="C214" s="59" t="s">
        <v>121</v>
      </c>
      <c r="F214" s="98"/>
      <c r="G214" s="104">
        <f t="shared" ref="G214:L214" si="123">F216</f>
        <v>67651</v>
      </c>
      <c r="H214" s="104">
        <f t="shared" si="123"/>
        <v>55221</v>
      </c>
      <c r="I214" s="104">
        <f t="shared" si="123"/>
        <v>47022</v>
      </c>
      <c r="J214" s="104">
        <f t="shared" si="123"/>
        <v>41277</v>
      </c>
      <c r="K214" s="104">
        <f t="shared" si="123"/>
        <v>36291</v>
      </c>
      <c r="L214" s="104">
        <f t="shared" si="123"/>
        <v>36291</v>
      </c>
    </row>
    <row r="215" spans="3:12" ht="15" customHeight="1" x14ac:dyDescent="0.25">
      <c r="C215" s="59" t="s">
        <v>282</v>
      </c>
      <c r="D215" s="25"/>
      <c r="E215" s="25"/>
      <c r="F215" s="105"/>
      <c r="G215" s="101">
        <f>-5184-7246</f>
        <v>-12430</v>
      </c>
      <c r="H215" s="101">
        <f>-4743-3456</f>
        <v>-8199</v>
      </c>
      <c r="I215" s="101">
        <f>-4356-1389</f>
        <v>-5745</v>
      </c>
      <c r="J215" s="101">
        <f>-3951-1035</f>
        <v>-4986</v>
      </c>
      <c r="K215" s="101">
        <v>0</v>
      </c>
      <c r="L215" s="101">
        <v>0</v>
      </c>
    </row>
    <row r="216" spans="3:12" ht="15" customHeight="1" x14ac:dyDescent="0.25">
      <c r="C216" s="639" t="s">
        <v>123</v>
      </c>
      <c r="F216" s="102">
        <f>F95</f>
        <v>67651</v>
      </c>
      <c r="G216" s="640">
        <f t="shared" ref="G216:L216" si="124">SUM(G214:G215)</f>
        <v>55221</v>
      </c>
      <c r="H216" s="641">
        <f t="shared" si="124"/>
        <v>47022</v>
      </c>
      <c r="I216" s="641">
        <f t="shared" si="124"/>
        <v>41277</v>
      </c>
      <c r="J216" s="641">
        <f t="shared" si="124"/>
        <v>36291</v>
      </c>
      <c r="K216" s="641">
        <f t="shared" si="124"/>
        <v>36291</v>
      </c>
      <c r="L216" s="641">
        <f t="shared" si="124"/>
        <v>36291</v>
      </c>
    </row>
    <row r="217" spans="3:12" ht="15" customHeight="1" x14ac:dyDescent="0.25">
      <c r="C217" s="59" t="s">
        <v>124</v>
      </c>
      <c r="F217" s="48"/>
      <c r="G217" s="103">
        <f>AVERAGE(G214,G216)</f>
        <v>61436</v>
      </c>
      <c r="H217" s="103">
        <f>AVERAGE(H214,H216)</f>
        <v>51121.5</v>
      </c>
      <c r="I217" s="103">
        <f t="shared" ref="I217:L217" si="125">AVERAGE(I214,I216)</f>
        <v>44149.5</v>
      </c>
      <c r="J217" s="103">
        <f t="shared" si="125"/>
        <v>38784</v>
      </c>
      <c r="K217" s="103">
        <f t="shared" si="125"/>
        <v>36291</v>
      </c>
      <c r="L217" s="103">
        <f t="shared" si="125"/>
        <v>36291</v>
      </c>
    </row>
    <row r="218" spans="3:12" ht="15" customHeight="1" x14ac:dyDescent="0.25">
      <c r="C218" s="59" t="s">
        <v>285</v>
      </c>
      <c r="F218" s="48"/>
      <c r="G218" s="57">
        <f>G219/G217</f>
        <v>6.8852138811120516E-3</v>
      </c>
      <c r="H218" s="57">
        <f t="shared" ref="H218:K218" si="126">H219/H217</f>
        <v>8.2548438523908727E-3</v>
      </c>
      <c r="I218" s="57">
        <f t="shared" si="126"/>
        <v>9.4904812059026719E-3</v>
      </c>
      <c r="J218" s="57">
        <f t="shared" si="126"/>
        <v>1.0571369636963696E-2</v>
      </c>
      <c r="K218" s="57">
        <f t="shared" si="126"/>
        <v>0</v>
      </c>
      <c r="L218" s="223">
        <v>0</v>
      </c>
    </row>
    <row r="219" spans="3:12" ht="15" customHeight="1" x14ac:dyDescent="0.25">
      <c r="C219" s="59" t="s">
        <v>126</v>
      </c>
      <c r="F219" s="48"/>
      <c r="G219" s="224">
        <v>423</v>
      </c>
      <c r="H219" s="224">
        <v>422</v>
      </c>
      <c r="I219" s="224">
        <v>419</v>
      </c>
      <c r="J219" s="224">
        <v>410</v>
      </c>
      <c r="K219" s="224">
        <v>0</v>
      </c>
      <c r="L219" s="224">
        <v>0</v>
      </c>
    </row>
    <row r="220" spans="3:12" ht="15" customHeight="1" x14ac:dyDescent="0.25">
      <c r="F220" s="48"/>
    </row>
    <row r="221" spans="3:12" ht="15" customHeight="1" x14ac:dyDescent="0.25">
      <c r="C221" s="12" t="s">
        <v>127</v>
      </c>
      <c r="F221" s="48"/>
    </row>
    <row r="222" spans="3:12" ht="15" customHeight="1" x14ac:dyDescent="0.25">
      <c r="C222" s="59" t="s">
        <v>121</v>
      </c>
      <c r="F222" s="98"/>
      <c r="G222" s="104">
        <f t="shared" ref="G222:L222" si="127">F225</f>
        <v>48744</v>
      </c>
      <c r="H222" s="104">
        <f t="shared" si="127"/>
        <v>47251</v>
      </c>
      <c r="I222" s="104">
        <f t="shared" si="127"/>
        <v>43691</v>
      </c>
      <c r="J222" s="104">
        <f t="shared" si="127"/>
        <v>37941</v>
      </c>
      <c r="K222" s="104">
        <f t="shared" si="127"/>
        <v>35691</v>
      </c>
      <c r="L222" s="104">
        <f t="shared" si="127"/>
        <v>32941</v>
      </c>
    </row>
    <row r="223" spans="3:12" ht="15" customHeight="1" x14ac:dyDescent="0.25">
      <c r="C223" s="59" t="s">
        <v>128</v>
      </c>
      <c r="F223" s="99"/>
      <c r="G223" s="101">
        <v>0</v>
      </c>
      <c r="H223" s="101">
        <v>0</v>
      </c>
      <c r="I223" s="101">
        <v>0</v>
      </c>
      <c r="J223" s="101">
        <v>0</v>
      </c>
      <c r="K223" s="101">
        <v>0</v>
      </c>
      <c r="L223" s="101">
        <v>0</v>
      </c>
    </row>
    <row r="224" spans="3:12" ht="15" customHeight="1" x14ac:dyDescent="0.25">
      <c r="C224" s="84" t="s">
        <v>129</v>
      </c>
      <c r="D224" s="25"/>
      <c r="E224" s="25"/>
      <c r="F224" s="105"/>
      <c r="G224" s="101">
        <f>-1493</f>
        <v>-1493</v>
      </c>
      <c r="H224" s="101">
        <f>-3560</f>
        <v>-3560</v>
      </c>
      <c r="I224" s="101">
        <f>-5750</f>
        <v>-5750</v>
      </c>
      <c r="J224" s="101">
        <f>-2250</f>
        <v>-2250</v>
      </c>
      <c r="K224" s="101">
        <f>-2750</f>
        <v>-2750</v>
      </c>
      <c r="L224" s="101">
        <f>-L222</f>
        <v>-32941</v>
      </c>
    </row>
    <row r="225" spans="3:12" ht="15" customHeight="1" x14ac:dyDescent="0.25">
      <c r="C225" s="12" t="s">
        <v>123</v>
      </c>
      <c r="E225" s="225">
        <f>E96</f>
        <v>31816</v>
      </c>
      <c r="F225" s="102">
        <f>F96</f>
        <v>48744</v>
      </c>
      <c r="G225" s="640">
        <f t="shared" ref="G225:L225" si="128">SUM(G222:G224)</f>
        <v>47251</v>
      </c>
      <c r="H225" s="641">
        <f t="shared" si="128"/>
        <v>43691</v>
      </c>
      <c r="I225" s="641">
        <f t="shared" si="128"/>
        <v>37941</v>
      </c>
      <c r="J225" s="641">
        <f t="shared" si="128"/>
        <v>35691</v>
      </c>
      <c r="K225" s="641">
        <f t="shared" si="128"/>
        <v>32941</v>
      </c>
      <c r="L225" s="641">
        <f t="shared" si="128"/>
        <v>0</v>
      </c>
    </row>
    <row r="226" spans="3:12" ht="15" customHeight="1" x14ac:dyDescent="0.25">
      <c r="C226" s="59" t="s">
        <v>124</v>
      </c>
      <c r="F226" s="48"/>
      <c r="G226" s="103">
        <f>AVERAGE(F225:G225)</f>
        <v>47997.5</v>
      </c>
      <c r="H226" s="103">
        <f t="shared" ref="H226:L226" si="129">AVERAGE(G225:H225)</f>
        <v>45471</v>
      </c>
      <c r="I226" s="103">
        <f t="shared" si="129"/>
        <v>40816</v>
      </c>
      <c r="J226" s="103">
        <f t="shared" si="129"/>
        <v>36816</v>
      </c>
      <c r="K226" s="103">
        <f t="shared" si="129"/>
        <v>34316</v>
      </c>
      <c r="L226" s="103">
        <f t="shared" si="129"/>
        <v>16470.5</v>
      </c>
    </row>
    <row r="227" spans="3:12" ht="15" customHeight="1" x14ac:dyDescent="0.25">
      <c r="C227" s="59" t="s">
        <v>130</v>
      </c>
      <c r="E227" s="642">
        <f>E228/E225</f>
        <v>5.1766406839326123E-2</v>
      </c>
      <c r="F227" s="643">
        <f>F228/F225</f>
        <v>3.7112259970457903E-2</v>
      </c>
      <c r="G227" s="235">
        <f>'Interest schedule'!$D$17</f>
        <v>3.740168539325843E-2</v>
      </c>
    </row>
    <row r="228" spans="3:12" ht="15" customHeight="1" x14ac:dyDescent="0.25">
      <c r="C228" s="59" t="s">
        <v>126</v>
      </c>
      <c r="E228" s="210">
        <f>-E24</f>
        <v>1647</v>
      </c>
      <c r="F228" s="238">
        <f>-F24</f>
        <v>1809</v>
      </c>
      <c r="G228" s="226">
        <f>G226*$G$227</f>
        <v>1795.1873946629214</v>
      </c>
      <c r="H228" s="226">
        <f t="shared" ref="H228:L228" si="130">H226*$G$227</f>
        <v>1700.6920365168542</v>
      </c>
      <c r="I228" s="226">
        <f t="shared" si="130"/>
        <v>1526.587191011236</v>
      </c>
      <c r="J228" s="226">
        <f t="shared" si="130"/>
        <v>1376.9804494382024</v>
      </c>
      <c r="K228" s="226">
        <f t="shared" si="130"/>
        <v>1283.4762359550564</v>
      </c>
      <c r="L228" s="226">
        <f t="shared" si="130"/>
        <v>616.024459269663</v>
      </c>
    </row>
    <row r="229" spans="3:12" ht="15" customHeight="1" x14ac:dyDescent="0.25">
      <c r="F229" s="48"/>
    </row>
    <row r="230" spans="3:12" ht="15" customHeight="1" x14ac:dyDescent="0.25">
      <c r="C230" s="12" t="s">
        <v>131</v>
      </c>
      <c r="F230" s="48"/>
    </row>
    <row r="231" spans="3:12" ht="15" customHeight="1" x14ac:dyDescent="0.25">
      <c r="C231" s="59" t="s">
        <v>121</v>
      </c>
      <c r="F231" s="98"/>
      <c r="G231" s="104">
        <f t="shared" ref="G231" si="131">F233</f>
        <v>36220</v>
      </c>
      <c r="H231" s="104">
        <f ca="1">G233</f>
        <v>74344.901563099353</v>
      </c>
      <c r="I231" s="104">
        <f ca="1">H233</f>
        <v>132840.5916757212</v>
      </c>
      <c r="J231" s="104">
        <f ca="1">I233</f>
        <v>208901.61522771695</v>
      </c>
      <c r="K231" s="104">
        <f ca="1">J233</f>
        <v>313177.36428696348</v>
      </c>
      <c r="L231" s="104">
        <f ca="1">K233</f>
        <v>450345.42197699158</v>
      </c>
    </row>
    <row r="232" spans="3:12" ht="15" customHeight="1" x14ac:dyDescent="0.25">
      <c r="C232" s="84" t="s">
        <v>132</v>
      </c>
      <c r="D232" s="25"/>
      <c r="E232" s="25"/>
      <c r="F232" s="213"/>
      <c r="G232" s="644">
        <f t="shared" ref="G232:L232" ca="1" si="132">G202-G191</f>
        <v>38124.901563099353</v>
      </c>
      <c r="H232" s="644">
        <f t="shared" ca="1" si="132"/>
        <v>58495.690112621844</v>
      </c>
      <c r="I232" s="644">
        <f t="shared" ca="1" si="132"/>
        <v>76061.02355199575</v>
      </c>
      <c r="J232" s="644">
        <f t="shared" ca="1" si="132"/>
        <v>104275.74905924653</v>
      </c>
      <c r="K232" s="644">
        <f t="shared" ca="1" si="132"/>
        <v>137168.0576900281</v>
      </c>
      <c r="L232" s="644">
        <f t="shared" ca="1" si="132"/>
        <v>134170.82878827036</v>
      </c>
    </row>
    <row r="233" spans="3:12" ht="15" customHeight="1" x14ac:dyDescent="0.25">
      <c r="C233" s="12" t="s">
        <v>123</v>
      </c>
      <c r="E233" s="232">
        <f>E78</f>
        <v>42122</v>
      </c>
      <c r="F233" s="234">
        <f>F78</f>
        <v>36220</v>
      </c>
      <c r="G233" s="55">
        <f t="shared" ref="G233:L233" ca="1" si="133">SUM(G231:G232)</f>
        <v>74344.901563099353</v>
      </c>
      <c r="H233" s="55">
        <f t="shared" ca="1" si="133"/>
        <v>132840.5916757212</v>
      </c>
      <c r="I233" s="55">
        <f t="shared" ca="1" si="133"/>
        <v>208901.61522771695</v>
      </c>
      <c r="J233" s="55">
        <f t="shared" ca="1" si="133"/>
        <v>313177.36428696348</v>
      </c>
      <c r="K233" s="55">
        <f t="shared" ca="1" si="133"/>
        <v>450345.42197699158</v>
      </c>
      <c r="L233" s="55">
        <f t="shared" ca="1" si="133"/>
        <v>584516.25076526194</v>
      </c>
    </row>
    <row r="234" spans="3:12" ht="15" customHeight="1" outlineLevel="1" x14ac:dyDescent="0.25">
      <c r="C234" s="84" t="str">
        <f>C79</f>
        <v>Marketable securities</v>
      </c>
      <c r="D234" s="25"/>
      <c r="E234" s="233">
        <f>E79</f>
        <v>42274</v>
      </c>
      <c r="F234" s="231">
        <f>F79</f>
        <v>59829</v>
      </c>
      <c r="G234" s="53">
        <f t="shared" ref="G234:L234" si="134">G79</f>
        <v>59829</v>
      </c>
      <c r="H234" s="53">
        <f t="shared" si="134"/>
        <v>59829</v>
      </c>
      <c r="I234" s="53">
        <f t="shared" si="134"/>
        <v>59829</v>
      </c>
      <c r="J234" s="53">
        <f t="shared" si="134"/>
        <v>59829</v>
      </c>
      <c r="K234" s="53">
        <f t="shared" si="134"/>
        <v>59829</v>
      </c>
      <c r="L234" s="53">
        <f t="shared" si="134"/>
        <v>59829</v>
      </c>
    </row>
    <row r="235" spans="3:12" ht="15" customHeight="1" outlineLevel="1" x14ac:dyDescent="0.25">
      <c r="C235" s="12" t="s">
        <v>273</v>
      </c>
      <c r="E235" s="215">
        <f t="shared" ref="E235:L235" si="135">E234+E233</f>
        <v>84396</v>
      </c>
      <c r="F235" s="214">
        <f t="shared" si="135"/>
        <v>96049</v>
      </c>
      <c r="G235" s="215">
        <f t="shared" ca="1" si="135"/>
        <v>134173.90156309935</v>
      </c>
      <c r="H235" s="215">
        <f t="shared" ca="1" si="135"/>
        <v>192669.5916757212</v>
      </c>
      <c r="I235" s="215">
        <f t="shared" ca="1" si="135"/>
        <v>268730.61522771697</v>
      </c>
      <c r="J235" s="215">
        <f t="shared" ca="1" si="135"/>
        <v>373006.36428696348</v>
      </c>
      <c r="K235" s="215">
        <f t="shared" ca="1" si="135"/>
        <v>510174.42197699158</v>
      </c>
      <c r="L235" s="215">
        <f t="shared" ca="1" si="135"/>
        <v>644345.25076526194</v>
      </c>
    </row>
    <row r="236" spans="3:12" ht="15" customHeight="1" x14ac:dyDescent="0.25">
      <c r="C236" s="59" t="s">
        <v>124</v>
      </c>
      <c r="F236" s="48"/>
      <c r="G236" s="103">
        <f t="shared" ref="G236:L236" ca="1" si="136">AVERAGE(F235:G235)</f>
        <v>115111.45078154968</v>
      </c>
      <c r="H236" s="103">
        <f t="shared" ca="1" si="136"/>
        <v>163421.74661941029</v>
      </c>
      <c r="I236" s="103">
        <f t="shared" ca="1" si="136"/>
        <v>230700.1034517191</v>
      </c>
      <c r="J236" s="103">
        <f t="shared" ca="1" si="136"/>
        <v>320868.48975734023</v>
      </c>
      <c r="K236" s="103">
        <f t="shared" ca="1" si="136"/>
        <v>441590.39313197753</v>
      </c>
      <c r="L236" s="103">
        <f t="shared" ca="1" si="136"/>
        <v>577259.83637112682</v>
      </c>
    </row>
    <row r="237" spans="3:12" ht="15" customHeight="1" x14ac:dyDescent="0.25">
      <c r="C237" s="59" t="s">
        <v>272</v>
      </c>
      <c r="E237" s="57">
        <f>E238/E235</f>
        <v>6.5761410493388314E-3</v>
      </c>
      <c r="F237" s="58">
        <f>F238/F235</f>
        <v>4.664285937386126E-3</v>
      </c>
      <c r="G237" s="57">
        <f>AVERAGE(E237:F237)</f>
        <v>5.6202134933624782E-3</v>
      </c>
    </row>
    <row r="238" spans="3:12" ht="15" customHeight="1" x14ac:dyDescent="0.25">
      <c r="C238" s="59" t="s">
        <v>133</v>
      </c>
      <c r="E238" s="645">
        <f>E23</f>
        <v>555</v>
      </c>
      <c r="F238" s="646">
        <f>F23</f>
        <v>448</v>
      </c>
      <c r="G238" s="180">
        <f t="shared" ref="G238:L238" ca="1" si="137">G236*$G$237</f>
        <v>646.95092892299624</v>
      </c>
      <c r="H238" s="180">
        <f t="shared" ca="1" si="137"/>
        <v>918.46510545927367</v>
      </c>
      <c r="I238" s="180">
        <f t="shared" ca="1" si="137"/>
        <v>1296.5838343394714</v>
      </c>
      <c r="J238" s="180">
        <f t="shared" ca="1" si="137"/>
        <v>1803.3494157290436</v>
      </c>
      <c r="K238" s="180">
        <f t="shared" ca="1" si="137"/>
        <v>2481.8322860195817</v>
      </c>
      <c r="L238" s="180">
        <f t="shared" ca="1" si="137"/>
        <v>3244.3235215492232</v>
      </c>
    </row>
    <row r="239" spans="3:12" ht="5.0999999999999996" customHeight="1" thickBot="1" x14ac:dyDescent="0.3">
      <c r="C239" s="60"/>
      <c r="D239" s="60"/>
      <c r="E239" s="60"/>
      <c r="F239" s="76"/>
      <c r="G239" s="60"/>
      <c r="H239" s="60"/>
      <c r="I239" s="60"/>
      <c r="J239" s="60"/>
      <c r="K239" s="60"/>
      <c r="L239" s="60"/>
    </row>
    <row r="240" spans="3:12" ht="15" customHeight="1" x14ac:dyDescent="0.25">
      <c r="F240" s="98"/>
    </row>
    <row r="241" spans="3:12" ht="15" customHeight="1" x14ac:dyDescent="0.25">
      <c r="C241" s="11" t="s">
        <v>134</v>
      </c>
      <c r="F241" s="48"/>
    </row>
    <row r="242" spans="3:12" ht="15" customHeight="1" x14ac:dyDescent="0.25">
      <c r="C242" s="11" t="s">
        <v>93</v>
      </c>
      <c r="F242" s="48"/>
      <c r="G242" s="237">
        <f t="shared" ref="G242:L242" ca="1" si="138">G233-G78</f>
        <v>0</v>
      </c>
      <c r="H242" s="237">
        <f t="shared" ca="1" si="138"/>
        <v>0</v>
      </c>
      <c r="I242" s="237">
        <f t="shared" ca="1" si="138"/>
        <v>0</v>
      </c>
      <c r="J242" s="237">
        <f t="shared" ca="1" si="138"/>
        <v>0</v>
      </c>
      <c r="K242" s="237">
        <f t="shared" ca="1" si="138"/>
        <v>0</v>
      </c>
      <c r="L242" s="237">
        <f t="shared" ca="1" si="138"/>
        <v>0</v>
      </c>
    </row>
    <row r="243" spans="3:12" ht="15" customHeight="1" x14ac:dyDescent="0.25">
      <c r="C243" s="11" t="s">
        <v>93</v>
      </c>
      <c r="F243" s="48"/>
      <c r="G243" s="237" t="str">
        <f t="shared" ref="G243:L243" ca="1" si="139">IF(G242=0,"Check",G242)</f>
        <v>Check</v>
      </c>
      <c r="H243" s="237" t="str">
        <f t="shared" ca="1" si="139"/>
        <v>Check</v>
      </c>
      <c r="I243" s="237" t="str">
        <f t="shared" ca="1" si="139"/>
        <v>Check</v>
      </c>
      <c r="J243" s="237" t="str">
        <f t="shared" ca="1" si="139"/>
        <v>Check</v>
      </c>
      <c r="K243" s="237" t="str">
        <f t="shared" ca="1" si="139"/>
        <v>Check</v>
      </c>
      <c r="L243" s="237" t="str">
        <f t="shared" ca="1" si="139"/>
        <v>Check</v>
      </c>
    </row>
    <row r="244" spans="3:12" ht="15" customHeight="1" x14ac:dyDescent="0.25">
      <c r="F244" s="48"/>
    </row>
  </sheetData>
  <sheetProtection algorithmName="SHA-512" hashValue="bR7e1HaVs11GIdmgDUMCOh8oAIsPLDQvq3hooAuTLhxyHdRgqi+8ExAXoxlLwrD06aje7dK5w3uRq/x9JIY8Cg==" saltValue="fCiM+ptLt2av3qrhKmzGsg==" spinCount="100000" sheet="1" objects="1" scenarios="1"/>
  <conditionalFormatting sqref="G242:L242">
    <cfRule type="cellIs" dxfId="3" priority="1" operator="notEqual">
      <formula>0</formula>
    </cfRule>
    <cfRule type="cellIs" dxfId="2" priority="2" operator="equal">
      <formula>0</formula>
    </cfRule>
  </conditionalFormatting>
  <pageMargins left="0.7" right="0.7" top="0.75" bottom="0.75" header="0.3" footer="0.3"/>
  <pageSetup scale="44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C6:M80"/>
  <sheetViews>
    <sheetView showGridLines="0" topLeftCell="A13" zoomScale="110" zoomScaleNormal="110" zoomScaleSheetLayoutView="100" workbookViewId="0">
      <selection activeCell="D5" sqref="D5"/>
    </sheetView>
  </sheetViews>
  <sheetFormatPr defaultColWidth="9.109375" defaultRowHeight="13.8" outlineLevelRow="1" x14ac:dyDescent="0.25"/>
  <cols>
    <col min="1" max="1" width="9.109375" style="140"/>
    <col min="2" max="2" width="5.33203125" style="140" customWidth="1"/>
    <col min="3" max="3" width="37" style="140" bestFit="1" customWidth="1"/>
    <col min="4" max="12" width="12.6640625" style="140" customWidth="1"/>
    <col min="13" max="13" width="5.88671875" style="140" bestFit="1" customWidth="1"/>
    <col min="14" max="16384" width="9.109375" style="140"/>
  </cols>
  <sheetData>
    <row r="6" spans="3:12" x14ac:dyDescent="0.25">
      <c r="C6" s="141" t="s">
        <v>264</v>
      </c>
    </row>
    <row r="7" spans="3:12" x14ac:dyDescent="0.25">
      <c r="C7" s="140" t="s">
        <v>74</v>
      </c>
    </row>
    <row r="8" spans="3:12" x14ac:dyDescent="0.25">
      <c r="C8" s="142"/>
      <c r="D8" s="143" t="s">
        <v>73</v>
      </c>
      <c r="E8" s="143"/>
      <c r="F8" s="143"/>
      <c r="G8" s="143" t="s">
        <v>30</v>
      </c>
      <c r="H8" s="144"/>
      <c r="I8" s="144"/>
      <c r="J8" s="144"/>
      <c r="K8" s="144"/>
      <c r="L8" s="144"/>
    </row>
    <row r="9" spans="3:12" x14ac:dyDescent="0.25">
      <c r="C9" s="145"/>
      <c r="D9" s="146">
        <v>2019</v>
      </c>
      <c r="E9" s="146">
        <v>2020</v>
      </c>
      <c r="F9" s="146">
        <v>2021</v>
      </c>
      <c r="G9" s="147">
        <f t="shared" ref="G9:L9" si="0">F9+1</f>
        <v>2022</v>
      </c>
      <c r="H9" s="147">
        <f t="shared" si="0"/>
        <v>2023</v>
      </c>
      <c r="I9" s="147">
        <f t="shared" si="0"/>
        <v>2024</v>
      </c>
      <c r="J9" s="147">
        <f t="shared" si="0"/>
        <v>2025</v>
      </c>
      <c r="K9" s="147">
        <f t="shared" si="0"/>
        <v>2026</v>
      </c>
      <c r="L9" s="147">
        <f t="shared" si="0"/>
        <v>2027</v>
      </c>
    </row>
    <row r="10" spans="3:12" ht="14.4" thickBot="1" x14ac:dyDescent="0.3">
      <c r="C10" s="141" t="s">
        <v>262</v>
      </c>
    </row>
    <row r="11" spans="3:12" x14ac:dyDescent="0.25">
      <c r="C11" s="149" t="s">
        <v>89</v>
      </c>
      <c r="G11" s="661">
        <f>CHOOSE('Financial model'!$F$4,Scenarios!G22,Scenarios!G33,Scenarios!G44)</f>
        <v>0.18253083082529131</v>
      </c>
      <c r="H11" s="662">
        <f>CHOOSE('Financial model'!$F$4,Scenarios!H22,Scenarios!H33,Scenarios!H44)</f>
        <v>0.17701892980116241</v>
      </c>
      <c r="I11" s="662">
        <f>CHOOSE('Financial model'!$F$4,Scenarios!I22,Scenarios!I33,Scenarios!I44)</f>
        <v>0.1543398575070305</v>
      </c>
      <c r="J11" s="662">
        <f>CHOOSE('Financial model'!$F$4,Scenarios!J22,Scenarios!J33,Scenarios!J44)</f>
        <v>0.15999999999999992</v>
      </c>
      <c r="K11" s="662">
        <f>CHOOSE('Financial model'!$F$4,Scenarios!K22,Scenarios!K33,Scenarios!K44)</f>
        <v>0.15999999999999992</v>
      </c>
      <c r="L11" s="663">
        <f>CHOOSE('Financial model'!$F$4,Scenarios!L22,Scenarios!L33,Scenarios!L44)</f>
        <v>0.15999999999999992</v>
      </c>
    </row>
    <row r="12" spans="3:12" x14ac:dyDescent="0.25">
      <c r="C12" s="149" t="s">
        <v>33</v>
      </c>
      <c r="G12" s="664">
        <f>CHOOSE('Financial model'!$F$4,Scenarios!G23,Scenarios!G34,Scenarios!G45)</f>
        <v>0.59</v>
      </c>
      <c r="H12" s="665">
        <f>CHOOSE('Financial model'!$F$4,Scenarios!H23,Scenarios!H34,Scenarios!H45)</f>
        <v>0.58499999999999996</v>
      </c>
      <c r="I12" s="665">
        <f>CHOOSE('Financial model'!$F$4,Scenarios!I23,Scenarios!I34,Scenarios!I45)</f>
        <v>0.58299999999999996</v>
      </c>
      <c r="J12" s="665">
        <f>CHOOSE('Financial model'!$F$4,Scenarios!J23,Scenarios!J34,Scenarios!J45)</f>
        <v>0.57999999999999996</v>
      </c>
      <c r="K12" s="665">
        <f>CHOOSE('Financial model'!$F$4,Scenarios!K23,Scenarios!K34,Scenarios!K45)</f>
        <v>0.57799999999999996</v>
      </c>
      <c r="L12" s="666">
        <f>CHOOSE('Financial model'!$F$4,Scenarios!L23,Scenarios!L34,Scenarios!L45)</f>
        <v>0.57499999999999996</v>
      </c>
    </row>
    <row r="13" spans="3:12" x14ac:dyDescent="0.25">
      <c r="C13" s="148" t="s">
        <v>263</v>
      </c>
      <c r="G13" s="664">
        <f>CHOOSE('Financial model'!$F$4,Scenarios!G24,Scenarios!G35,Scenarios!G46)</f>
        <v>0.16</v>
      </c>
      <c r="H13" s="665">
        <f>CHOOSE('Financial model'!$F$4,Scenarios!H24,Scenarios!H35,Scenarios!H46)</f>
        <v>0.158</v>
      </c>
      <c r="I13" s="665">
        <f>CHOOSE('Financial model'!$F$4,Scenarios!I24,Scenarios!I35,Scenarios!I46)</f>
        <v>0.155</v>
      </c>
      <c r="J13" s="665">
        <f>CHOOSE('Financial model'!$F$4,Scenarios!J24,Scenarios!J35,Scenarios!J46)</f>
        <v>0.152</v>
      </c>
      <c r="K13" s="665">
        <f>CHOOSE('Financial model'!$F$4,Scenarios!K24,Scenarios!K35,Scenarios!K46)</f>
        <v>0.14799999999999999</v>
      </c>
      <c r="L13" s="666">
        <f>CHOOSE('Financial model'!$F$4,Scenarios!L24,Scenarios!L35,Scenarios!L46)</f>
        <v>0.14499999999999999</v>
      </c>
    </row>
    <row r="14" spans="3:12" x14ac:dyDescent="0.25">
      <c r="C14" s="148" t="s">
        <v>35</v>
      </c>
      <c r="G14" s="664">
        <f>CHOOSE('Financial model'!$F$4,Scenarios!G25,Scenarios!G36,Scenarios!G47)</f>
        <v>0.122</v>
      </c>
      <c r="H14" s="665">
        <f>CHOOSE('Financial model'!$F$4,Scenarios!H25,Scenarios!H36,Scenarios!H47)</f>
        <v>0.12</v>
      </c>
      <c r="I14" s="665">
        <f>CHOOSE('Financial model'!$F$4,Scenarios!I25,Scenarios!I36,Scenarios!I47)</f>
        <v>0.11799999999999999</v>
      </c>
      <c r="J14" s="665">
        <f>CHOOSE('Financial model'!$F$4,Scenarios!J25,Scenarios!J36,Scenarios!J47)</f>
        <v>0.11799999999999999</v>
      </c>
      <c r="K14" s="665">
        <f>CHOOSE('Financial model'!$F$4,Scenarios!K25,Scenarios!K36,Scenarios!K47)</f>
        <v>0.11600000000000001</v>
      </c>
      <c r="L14" s="666">
        <f>CHOOSE('Financial model'!$F$4,Scenarios!L25,Scenarios!L36,Scenarios!L47)</f>
        <v>0.11600000000000001</v>
      </c>
    </row>
    <row r="15" spans="3:12" x14ac:dyDescent="0.25">
      <c r="C15" s="148" t="s">
        <v>36</v>
      </c>
      <c r="G15" s="664">
        <f>CHOOSE('Financial model'!$F$4,Scenarios!G26,Scenarios!G37,Scenarios!G48)</f>
        <v>7.1999999999999995E-2</v>
      </c>
      <c r="H15" s="665">
        <f>CHOOSE('Financial model'!$F$4,Scenarios!H26,Scenarios!H37,Scenarios!H48)</f>
        <v>7.0000000000000007E-2</v>
      </c>
      <c r="I15" s="665">
        <f>CHOOSE('Financial model'!$F$4,Scenarios!I26,Scenarios!I37,Scenarios!I48)</f>
        <v>6.8000000000000005E-2</v>
      </c>
      <c r="J15" s="665">
        <f>CHOOSE('Financial model'!$F$4,Scenarios!J26,Scenarios!J37,Scenarios!J48)</f>
        <v>6.5000000000000002E-2</v>
      </c>
      <c r="K15" s="665">
        <f>CHOOSE('Financial model'!$F$4,Scenarios!K26,Scenarios!K37,Scenarios!K48)</f>
        <v>0.06</v>
      </c>
      <c r="L15" s="666">
        <f>CHOOSE('Financial model'!$F$4,Scenarios!L26,Scenarios!L37,Scenarios!L48)</f>
        <v>0.06</v>
      </c>
    </row>
    <row r="16" spans="3:12" x14ac:dyDescent="0.25">
      <c r="C16" s="148" t="s">
        <v>37</v>
      </c>
      <c r="G16" s="664">
        <f>CHOOSE('Financial model'!$F$4,Scenarios!G27,Scenarios!G38,Scenarios!G49)</f>
        <v>2.1000000000000001E-2</v>
      </c>
      <c r="H16" s="665">
        <f>CHOOSE('Financial model'!$F$4,Scenarios!H27,Scenarios!H38,Scenarios!H49)</f>
        <v>1.9E-2</v>
      </c>
      <c r="I16" s="665">
        <f>CHOOSE('Financial model'!$F$4,Scenarios!I27,Scenarios!I38,Scenarios!I49)</f>
        <v>1.9E-2</v>
      </c>
      <c r="J16" s="665">
        <f>CHOOSE('Financial model'!$F$4,Scenarios!J27,Scenarios!J38,Scenarios!J49)</f>
        <v>1.9E-2</v>
      </c>
      <c r="K16" s="665">
        <f>CHOOSE('Financial model'!$F$4,Scenarios!K27,Scenarios!K38,Scenarios!K49)</f>
        <v>1.9E-2</v>
      </c>
      <c r="L16" s="666">
        <f>CHOOSE('Financial model'!$F$4,Scenarios!L27,Scenarios!L38,Scenarios!L49)</f>
        <v>1.9E-2</v>
      </c>
    </row>
    <row r="17" spans="3:13" x14ac:dyDescent="0.25">
      <c r="C17" s="148" t="s">
        <v>38</v>
      </c>
      <c r="G17" s="664">
        <f>CHOOSE('Financial model'!$F$4,Scenarios!G28,Scenarios!G39,Scenarios!G50)</f>
        <v>0</v>
      </c>
      <c r="H17" s="665">
        <f>CHOOSE('Financial model'!$F$4,Scenarios!H28,Scenarios!H39,Scenarios!H50)</f>
        <v>0</v>
      </c>
      <c r="I17" s="665">
        <f>CHOOSE('Financial model'!$F$4,Scenarios!I28,Scenarios!I39,Scenarios!I50)</f>
        <v>0</v>
      </c>
      <c r="J17" s="665">
        <f>CHOOSE('Financial model'!$F$4,Scenarios!J28,Scenarios!J39,Scenarios!J50)</f>
        <v>0</v>
      </c>
      <c r="K17" s="665">
        <f>CHOOSE('Financial model'!$F$4,Scenarios!K28,Scenarios!K39,Scenarios!K50)</f>
        <v>0</v>
      </c>
      <c r="L17" s="666">
        <f>CHOOSE('Financial model'!$F$4,Scenarios!L28,Scenarios!L39,Scenarios!L50)</f>
        <v>0</v>
      </c>
    </row>
    <row r="18" spans="3:13" x14ac:dyDescent="0.25">
      <c r="C18" s="148" t="s">
        <v>88</v>
      </c>
      <c r="G18" s="664">
        <f>CHOOSE('Financial model'!$F$4,Scenarios!G29,Scenarios!G40,Scenarios!G51)</f>
        <v>0.13</v>
      </c>
      <c r="H18" s="665">
        <f>CHOOSE('Financial model'!$F$4,Scenarios!H29,Scenarios!H40,Scenarios!H51)</f>
        <v>0.13</v>
      </c>
      <c r="I18" s="665">
        <f>CHOOSE('Financial model'!$F$4,Scenarios!I29,Scenarios!I40,Scenarios!I51)</f>
        <v>0.13</v>
      </c>
      <c r="J18" s="665">
        <f>CHOOSE('Financial model'!$F$4,Scenarios!J29,Scenarios!J40,Scenarios!J51)</f>
        <v>0.128</v>
      </c>
      <c r="K18" s="665">
        <f>CHOOSE('Financial model'!$F$4,Scenarios!K29,Scenarios!K40,Scenarios!K51)</f>
        <v>0.126</v>
      </c>
      <c r="L18" s="666">
        <f>CHOOSE('Financial model'!$F$4,Scenarios!L29,Scenarios!L40,Scenarios!L51)</f>
        <v>0.126</v>
      </c>
    </row>
    <row r="19" spans="3:13" ht="14.4" thickBot="1" x14ac:dyDescent="0.3">
      <c r="C19" s="148" t="s">
        <v>84</v>
      </c>
      <c r="G19" s="667">
        <f>CHOOSE('Financial model'!$F$4,Scenarios!G30,Scenarios!G41,Scenarios!G52)</f>
        <v>8.4492034436146793E-2</v>
      </c>
      <c r="H19" s="668">
        <f>CHOOSE('Financial model'!$F$4,Scenarios!H30,Scenarios!H41,Scenarios!H52)</f>
        <v>7.5760750053140494E-2</v>
      </c>
      <c r="I19" s="668">
        <f>CHOOSE('Financial model'!$F$4,Scenarios!I30,Scenarios!I41,Scenarios!I52)</f>
        <v>7.0784549065117233E-2</v>
      </c>
      <c r="J19" s="668">
        <f>CHOOSE('Financial model'!$F$4,Scenarios!J30,Scenarios!J41,Scenarios!J52)</f>
        <v>6.4572888860992814E-2</v>
      </c>
      <c r="K19" s="668">
        <f>CHOOSE('Financial model'!$F$4,Scenarios!K30,Scenarios!K41,Scenarios!K52)</f>
        <v>5.9070726363612054E-2</v>
      </c>
      <c r="L19" s="669">
        <f>CHOOSE('Financial model'!$F$4,Scenarios!L30,Scenarios!L41,Scenarios!L52)</f>
        <v>5.9070726363612054E-2</v>
      </c>
    </row>
    <row r="21" spans="3:13" x14ac:dyDescent="0.25">
      <c r="C21" s="141" t="s">
        <v>261</v>
      </c>
    </row>
    <row r="22" spans="3:13" x14ac:dyDescent="0.25">
      <c r="C22" s="149" t="s">
        <v>89</v>
      </c>
      <c r="D22" s="241">
        <f>'Financial model'!D42</f>
        <v>0.20499999999999999</v>
      </c>
      <c r="E22" s="241">
        <f>'Financial model'!E42</f>
        <v>0.37623430604373276</v>
      </c>
      <c r="F22" s="241">
        <f>'Financial model'!F42</f>
        <v>0.21695366571345676</v>
      </c>
      <c r="G22" s="240">
        <f>'Wall Street estimates'!D12</f>
        <v>0.18253083082529131</v>
      </c>
      <c r="H22" s="240">
        <f>'Wall Street estimates'!E12</f>
        <v>0.17701892980116241</v>
      </c>
      <c r="I22" s="240">
        <f>'Wall Street estimates'!F12</f>
        <v>0.1543398575070305</v>
      </c>
      <c r="J22" s="240">
        <f>'Wall Street estimates'!G12</f>
        <v>0.15999999999999992</v>
      </c>
      <c r="K22" s="240">
        <f>'Wall Street estimates'!H12</f>
        <v>0.15999999999999992</v>
      </c>
      <c r="L22" s="240">
        <f>'Wall Street estimates'!I12</f>
        <v>0.15999999999999992</v>
      </c>
    </row>
    <row r="23" spans="3:13" x14ac:dyDescent="0.25">
      <c r="C23" s="149" t="s">
        <v>33</v>
      </c>
      <c r="D23" s="241">
        <f>'Financial model'!D53</f>
        <v>0.59009988521399392</v>
      </c>
      <c r="E23" s="241">
        <f>'Financial model'!E53</f>
        <v>0.60432208131294296</v>
      </c>
      <c r="F23" s="241">
        <f>'Financial model'!F53</f>
        <v>0.57967485558360399</v>
      </c>
      <c r="G23" s="151">
        <v>0.59</v>
      </c>
      <c r="H23" s="151">
        <v>0.58499999999999996</v>
      </c>
      <c r="I23" s="151">
        <v>0.58299999999999996</v>
      </c>
      <c r="J23" s="151">
        <v>0.57999999999999996</v>
      </c>
      <c r="K23" s="151">
        <v>0.57799999999999996</v>
      </c>
      <c r="L23" s="151">
        <v>0.57499999999999996</v>
      </c>
    </row>
    <row r="24" spans="3:13" x14ac:dyDescent="0.25">
      <c r="C24" s="148" t="s">
        <v>263</v>
      </c>
      <c r="D24" s="241">
        <f>'Financial model'!D55</f>
        <v>0.14341834152045116</v>
      </c>
      <c r="E24" s="241">
        <f>'Financial model'!E55</f>
        <v>0.15157331426913673</v>
      </c>
      <c r="F24" s="241">
        <f>'Financial model'!F55</f>
        <v>0.15987118525739535</v>
      </c>
      <c r="G24" s="151">
        <v>0.16</v>
      </c>
      <c r="H24" s="151">
        <v>0.158</v>
      </c>
      <c r="I24" s="151">
        <v>0.155</v>
      </c>
      <c r="J24" s="151">
        <v>0.152</v>
      </c>
      <c r="K24" s="151">
        <v>0.14799999999999999</v>
      </c>
      <c r="L24" s="151">
        <v>0.14499999999999999</v>
      </c>
    </row>
    <row r="25" spans="3:13" x14ac:dyDescent="0.25">
      <c r="C25" s="148" t="s">
        <v>35</v>
      </c>
      <c r="D25" s="241">
        <f>'Financial model'!D56</f>
        <v>0.12808621070718162</v>
      </c>
      <c r="E25" s="241">
        <f>'Financial model'!E56</f>
        <v>0.11070703303079282</v>
      </c>
      <c r="F25" s="241">
        <f>'Financial model'!F56</f>
        <v>0.11930475797216818</v>
      </c>
      <c r="G25" s="151">
        <v>0.122</v>
      </c>
      <c r="H25" s="151">
        <v>0.12</v>
      </c>
      <c r="I25" s="151">
        <v>0.11799999999999999</v>
      </c>
      <c r="J25" s="151">
        <v>0.11799999999999999</v>
      </c>
      <c r="K25" s="151">
        <v>0.11600000000000001</v>
      </c>
      <c r="L25" s="151">
        <v>0.11600000000000001</v>
      </c>
    </row>
    <row r="26" spans="3:13" x14ac:dyDescent="0.25">
      <c r="C26" s="148" t="s">
        <v>36</v>
      </c>
      <c r="D26" s="241">
        <f>'Financial model'!D57</f>
        <v>6.7295969656568824E-2</v>
      </c>
      <c r="E26" s="241">
        <f>'Financial model'!E57</f>
        <v>5.7006092254134028E-2</v>
      </c>
      <c r="F26" s="241">
        <f>'Financial model'!F57</f>
        <v>6.9283686161993263E-2</v>
      </c>
      <c r="G26" s="151">
        <v>7.1999999999999995E-2</v>
      </c>
      <c r="H26" s="151">
        <v>7.0000000000000007E-2</v>
      </c>
      <c r="I26" s="151">
        <v>6.8000000000000005E-2</v>
      </c>
      <c r="J26" s="151">
        <v>6.5000000000000002E-2</v>
      </c>
      <c r="K26" s="151">
        <v>0.06</v>
      </c>
      <c r="L26" s="151">
        <v>0.06</v>
      </c>
    </row>
    <row r="27" spans="3:13" x14ac:dyDescent="0.25">
      <c r="C27" s="148" t="s">
        <v>37</v>
      </c>
      <c r="D27" s="241">
        <f>'Financial model'!D58</f>
        <v>1.8547564896870834E-2</v>
      </c>
      <c r="E27" s="241">
        <f>'Financial model'!E58</f>
        <v>1.7271747689502258E-2</v>
      </c>
      <c r="F27" s="241">
        <f>'Financial model'!F58</f>
        <v>1.8779452643767215E-2</v>
      </c>
      <c r="G27" s="151">
        <v>2.1000000000000001E-2</v>
      </c>
      <c r="H27" s="151">
        <v>1.9E-2</v>
      </c>
      <c r="I27" s="151">
        <v>1.9E-2</v>
      </c>
      <c r="J27" s="151">
        <v>1.9E-2</v>
      </c>
      <c r="K27" s="151">
        <v>1.9E-2</v>
      </c>
      <c r="L27" s="151">
        <v>1.9E-2</v>
      </c>
    </row>
    <row r="28" spans="3:13" x14ac:dyDescent="0.25">
      <c r="C28" s="148" t="s">
        <v>38</v>
      </c>
      <c r="D28" s="742">
        <f>'Financial model'!D59</f>
        <v>7.1652134235461028E-4</v>
      </c>
      <c r="E28" s="742">
        <f>'Financial model'!E59</f>
        <v>1.9426830784533136E-4</v>
      </c>
      <c r="F28" s="742">
        <f>'Financial model'!F59</f>
        <v>1.3196487180251244E-4</v>
      </c>
      <c r="G28" s="151">
        <v>0</v>
      </c>
      <c r="H28" s="151">
        <v>0</v>
      </c>
      <c r="I28" s="151">
        <v>0</v>
      </c>
      <c r="J28" s="151">
        <v>0</v>
      </c>
      <c r="K28" s="151">
        <v>0</v>
      </c>
      <c r="L28" s="151">
        <v>0</v>
      </c>
    </row>
    <row r="29" spans="3:13" x14ac:dyDescent="0.25">
      <c r="C29" s="148" t="str">
        <f>C18</f>
        <v>Effective tax rate</v>
      </c>
      <c r="D29" s="241">
        <f>'Financial model'!D62</f>
        <v>0.16986262163709215</v>
      </c>
      <c r="E29" s="241">
        <f>'Financial model'!E62</f>
        <v>0.11915265523555851</v>
      </c>
      <c r="F29" s="241">
        <f>'Financial model'!F62</f>
        <v>0.12557993237398757</v>
      </c>
      <c r="G29" s="151">
        <v>0.13</v>
      </c>
      <c r="H29" s="151">
        <v>0.13</v>
      </c>
      <c r="I29" s="151">
        <v>0.13</v>
      </c>
      <c r="J29" s="151">
        <v>0.128</v>
      </c>
      <c r="K29" s="151">
        <v>0.126</v>
      </c>
      <c r="L29" s="151">
        <v>0.126</v>
      </c>
    </row>
    <row r="30" spans="3:13" x14ac:dyDescent="0.25">
      <c r="C30" s="148" t="s">
        <v>84</v>
      </c>
      <c r="D30" s="241">
        <f>'Financial model'!D66</f>
        <v>6.0105802753438235E-2</v>
      </c>
      <c r="E30" s="241">
        <f>'Financial model'!E66</f>
        <v>0.10397239835882134</v>
      </c>
      <c r="F30" s="241">
        <f>'Financial model'!F66</f>
        <v>0.12994921480901278</v>
      </c>
      <c r="G30" s="240">
        <f>'Wall Street estimates'!D18</f>
        <v>8.4492034436146793E-2</v>
      </c>
      <c r="H30" s="240">
        <f>'Wall Street estimates'!E18</f>
        <v>7.5760750053140494E-2</v>
      </c>
      <c r="I30" s="240">
        <f>'Wall Street estimates'!F18</f>
        <v>7.0784549065117233E-2</v>
      </c>
      <c r="J30" s="240">
        <f>'Wall Street estimates'!G18</f>
        <v>6.4572888860992814E-2</v>
      </c>
      <c r="K30" s="240">
        <f>'Wall Street estimates'!H18</f>
        <v>5.9070726363612054E-2</v>
      </c>
      <c r="L30" s="240">
        <f>'Wall Street estimates'!I18</f>
        <v>5.9070726363612054E-2</v>
      </c>
    </row>
    <row r="32" spans="3:13" x14ac:dyDescent="0.25">
      <c r="C32" s="141" t="s">
        <v>552</v>
      </c>
      <c r="M32" s="261" t="s">
        <v>266</v>
      </c>
    </row>
    <row r="33" spans="3:13" x14ac:dyDescent="0.25">
      <c r="C33" s="149" t="s">
        <v>89</v>
      </c>
      <c r="D33" s="241">
        <f>D22</f>
        <v>0.20499999999999999</v>
      </c>
      <c r="E33" s="241">
        <f t="shared" ref="E33:F33" si="1">E22</f>
        <v>0.37623430604373276</v>
      </c>
      <c r="F33" s="241">
        <f t="shared" si="1"/>
        <v>0.21695366571345676</v>
      </c>
      <c r="G33" s="262">
        <f>G22-$M$33</f>
        <v>0.1725308308252913</v>
      </c>
      <c r="H33" s="262">
        <f t="shared" ref="H33:L33" si="2">H22-$M$33</f>
        <v>0.1670189298011624</v>
      </c>
      <c r="I33" s="262">
        <f t="shared" si="2"/>
        <v>0.14433985750703049</v>
      </c>
      <c r="J33" s="262">
        <f t="shared" si="2"/>
        <v>0.14999999999999991</v>
      </c>
      <c r="K33" s="262">
        <f t="shared" si="2"/>
        <v>0.14999999999999991</v>
      </c>
      <c r="L33" s="262">
        <f t="shared" si="2"/>
        <v>0.14999999999999991</v>
      </c>
      <c r="M33" s="154">
        <v>0.01</v>
      </c>
    </row>
    <row r="34" spans="3:13" x14ac:dyDescent="0.25">
      <c r="C34" s="149" t="s">
        <v>33</v>
      </c>
      <c r="D34" s="241">
        <f t="shared" ref="D34:F34" si="3">D23</f>
        <v>0.59009988521399392</v>
      </c>
      <c r="E34" s="241">
        <f t="shared" si="3"/>
        <v>0.60432208131294296</v>
      </c>
      <c r="F34" s="241">
        <f t="shared" si="3"/>
        <v>0.57967485558360399</v>
      </c>
      <c r="G34" s="262">
        <f>G23+$M$34</f>
        <v>0.59499999999999997</v>
      </c>
      <c r="H34" s="262">
        <f>G34+0.0025</f>
        <v>0.59749999999999992</v>
      </c>
      <c r="I34" s="262">
        <f t="shared" ref="I34:K34" si="4">H34+0.0025</f>
        <v>0.59999999999999987</v>
      </c>
      <c r="J34" s="262">
        <f t="shared" si="4"/>
        <v>0.60249999999999981</v>
      </c>
      <c r="K34" s="262">
        <f t="shared" si="4"/>
        <v>0.60499999999999976</v>
      </c>
      <c r="L34" s="240">
        <f>K34</f>
        <v>0.60499999999999976</v>
      </c>
      <c r="M34" s="154">
        <v>5.0000000000000001E-3</v>
      </c>
    </row>
    <row r="35" spans="3:13" x14ac:dyDescent="0.25">
      <c r="C35" s="148" t="s">
        <v>263</v>
      </c>
      <c r="D35" s="241">
        <f t="shared" ref="D35:F35" si="5">D24</f>
        <v>0.14341834152045116</v>
      </c>
      <c r="E35" s="241">
        <f t="shared" si="5"/>
        <v>0.15157331426913673</v>
      </c>
      <c r="F35" s="241">
        <f t="shared" si="5"/>
        <v>0.15987118525739535</v>
      </c>
      <c r="G35" s="262">
        <f>G24+0.0025</f>
        <v>0.16250000000000001</v>
      </c>
      <c r="H35" s="262">
        <f>G35+0.0025</f>
        <v>0.16500000000000001</v>
      </c>
      <c r="I35" s="240">
        <f>H35</f>
        <v>0.16500000000000001</v>
      </c>
      <c r="J35" s="151">
        <v>0.16</v>
      </c>
      <c r="K35" s="151">
        <v>0.158</v>
      </c>
      <c r="L35" s="151">
        <v>0.155</v>
      </c>
    </row>
    <row r="36" spans="3:13" x14ac:dyDescent="0.25">
      <c r="C36" s="148" t="s">
        <v>35</v>
      </c>
      <c r="D36" s="241">
        <f t="shared" ref="D36:F36" si="6">D25</f>
        <v>0.12808621070718162</v>
      </c>
      <c r="E36" s="241">
        <f t="shared" si="6"/>
        <v>0.11070703303079282</v>
      </c>
      <c r="F36" s="241">
        <f t="shared" si="6"/>
        <v>0.11930475797216818</v>
      </c>
      <c r="G36" s="262">
        <f>G25+$M$34</f>
        <v>0.127</v>
      </c>
      <c r="H36" s="262">
        <f>G36+$M$34</f>
        <v>0.13200000000000001</v>
      </c>
      <c r="I36" s="262">
        <f>H36+0.0025</f>
        <v>0.13450000000000001</v>
      </c>
      <c r="J36" s="240">
        <f>I36</f>
        <v>0.13450000000000001</v>
      </c>
      <c r="K36" s="240">
        <f t="shared" ref="K36:L36" si="7">J36</f>
        <v>0.13450000000000001</v>
      </c>
      <c r="L36" s="240">
        <f t="shared" si="7"/>
        <v>0.13450000000000001</v>
      </c>
    </row>
    <row r="37" spans="3:13" x14ac:dyDescent="0.25">
      <c r="C37" s="148" t="s">
        <v>36</v>
      </c>
      <c r="D37" s="241">
        <f t="shared" ref="D37:F37" si="8">D26</f>
        <v>6.7295969656568824E-2</v>
      </c>
      <c r="E37" s="241">
        <f t="shared" si="8"/>
        <v>5.7006092254134028E-2</v>
      </c>
      <c r="F37" s="241">
        <f t="shared" si="8"/>
        <v>6.9283686161993263E-2</v>
      </c>
      <c r="G37" s="262">
        <f>F37+0.0025</f>
        <v>7.1783686161993265E-2</v>
      </c>
      <c r="H37" s="262">
        <f t="shared" ref="H37:I37" si="9">G37+0.0025</f>
        <v>7.4283686161993268E-2</v>
      </c>
      <c r="I37" s="262">
        <f t="shared" si="9"/>
        <v>7.678368616199327E-2</v>
      </c>
      <c r="J37" s="240">
        <f>I37</f>
        <v>7.678368616199327E-2</v>
      </c>
      <c r="K37" s="240">
        <f t="shared" ref="K37:L37" si="10">J37</f>
        <v>7.678368616199327E-2</v>
      </c>
      <c r="L37" s="240">
        <f t="shared" si="10"/>
        <v>7.678368616199327E-2</v>
      </c>
    </row>
    <row r="38" spans="3:13" x14ac:dyDescent="0.25">
      <c r="C38" s="148" t="s">
        <v>37</v>
      </c>
      <c r="D38" s="241">
        <f t="shared" ref="D38:F38" si="11">D27</f>
        <v>1.8547564896870834E-2</v>
      </c>
      <c r="E38" s="241">
        <f t="shared" si="11"/>
        <v>1.7271747689502258E-2</v>
      </c>
      <c r="F38" s="241">
        <f t="shared" si="11"/>
        <v>1.8779452643767215E-2</v>
      </c>
      <c r="G38" s="262">
        <f>G27+$M$34</f>
        <v>2.6000000000000002E-2</v>
      </c>
      <c r="H38" s="262">
        <f t="shared" ref="H38:L38" si="12">H27+$M$34</f>
        <v>2.4E-2</v>
      </c>
      <c r="I38" s="262">
        <f t="shared" si="12"/>
        <v>2.4E-2</v>
      </c>
      <c r="J38" s="262">
        <f t="shared" si="12"/>
        <v>2.4E-2</v>
      </c>
      <c r="K38" s="262">
        <f t="shared" si="12"/>
        <v>2.4E-2</v>
      </c>
      <c r="L38" s="262">
        <f t="shared" si="12"/>
        <v>2.4E-2</v>
      </c>
    </row>
    <row r="39" spans="3:13" x14ac:dyDescent="0.25">
      <c r="C39" s="148" t="s">
        <v>38</v>
      </c>
      <c r="D39" s="743">
        <f t="shared" ref="D39:F39" si="13">D28</f>
        <v>7.1652134235461028E-4</v>
      </c>
      <c r="E39" s="743">
        <f t="shared" si="13"/>
        <v>1.9426830784533136E-4</v>
      </c>
      <c r="F39" s="743">
        <f t="shared" si="13"/>
        <v>1.3196487180251244E-4</v>
      </c>
      <c r="G39" s="744">
        <f>AVERAGE(D39:F39)</f>
        <v>3.4758484066748464E-4</v>
      </c>
      <c r="H39" s="744">
        <f t="shared" ref="H39:L39" si="14">AVERAGE(E39:G39)</f>
        <v>2.2460600677177617E-4</v>
      </c>
      <c r="I39" s="744">
        <f t="shared" si="14"/>
        <v>2.3471857308059109E-4</v>
      </c>
      <c r="J39" s="744">
        <f t="shared" si="14"/>
        <v>2.6896980683995062E-4</v>
      </c>
      <c r="K39" s="744">
        <f t="shared" si="14"/>
        <v>2.4276479556410596E-4</v>
      </c>
      <c r="L39" s="744">
        <f t="shared" si="14"/>
        <v>2.4881772516154922E-4</v>
      </c>
    </row>
    <row r="40" spans="3:13" x14ac:dyDescent="0.25">
      <c r="C40" s="148" t="str">
        <f>C18</f>
        <v>Effective tax rate</v>
      </c>
      <c r="D40" s="241">
        <f t="shared" ref="D40:F40" si="15">D29</f>
        <v>0.16986262163709215</v>
      </c>
      <c r="E40" s="241">
        <f t="shared" si="15"/>
        <v>0.11915265523555851</v>
      </c>
      <c r="F40" s="241">
        <f t="shared" si="15"/>
        <v>0.12557993237398757</v>
      </c>
      <c r="G40" s="262">
        <f>G29+$M$34</f>
        <v>0.13500000000000001</v>
      </c>
      <c r="H40" s="262">
        <f t="shared" ref="H40:L40" si="16">H29+$M$34</f>
        <v>0.13500000000000001</v>
      </c>
      <c r="I40" s="262">
        <f t="shared" si="16"/>
        <v>0.13500000000000001</v>
      </c>
      <c r="J40" s="262">
        <f t="shared" si="16"/>
        <v>0.13300000000000001</v>
      </c>
      <c r="K40" s="262">
        <f t="shared" si="16"/>
        <v>0.13100000000000001</v>
      </c>
      <c r="L40" s="262">
        <f t="shared" si="16"/>
        <v>0.13100000000000001</v>
      </c>
    </row>
    <row r="41" spans="3:13" x14ac:dyDescent="0.25">
      <c r="C41" s="148" t="s">
        <v>84</v>
      </c>
      <c r="D41" s="241">
        <f t="shared" ref="D41:F41" si="17">D30</f>
        <v>6.0105802753438235E-2</v>
      </c>
      <c r="E41" s="241">
        <f t="shared" si="17"/>
        <v>0.10397239835882134</v>
      </c>
      <c r="F41" s="241">
        <f t="shared" si="17"/>
        <v>0.12994921480901278</v>
      </c>
      <c r="G41" s="240">
        <f>G30</f>
        <v>8.4492034436146793E-2</v>
      </c>
      <c r="H41" s="240">
        <f t="shared" ref="H41:L41" si="18">H30</f>
        <v>7.5760750053140494E-2</v>
      </c>
      <c r="I41" s="240">
        <f t="shared" si="18"/>
        <v>7.0784549065117233E-2</v>
      </c>
      <c r="J41" s="240">
        <f t="shared" si="18"/>
        <v>6.4572888860992814E-2</v>
      </c>
      <c r="K41" s="240">
        <f t="shared" si="18"/>
        <v>5.9070726363612054E-2</v>
      </c>
      <c r="L41" s="240">
        <f t="shared" si="18"/>
        <v>5.9070726363612054E-2</v>
      </c>
    </row>
    <row r="42" spans="3:13" x14ac:dyDescent="0.25">
      <c r="C42" s="148"/>
      <c r="G42" s="154"/>
      <c r="H42" s="154"/>
      <c r="I42" s="154"/>
      <c r="J42" s="154"/>
      <c r="K42" s="154"/>
      <c r="L42" s="154"/>
    </row>
    <row r="43" spans="3:13" x14ac:dyDescent="0.25">
      <c r="C43" s="141" t="s">
        <v>260</v>
      </c>
    </row>
    <row r="44" spans="3:13" x14ac:dyDescent="0.25">
      <c r="C44" s="149" t="s">
        <v>89</v>
      </c>
      <c r="D44" s="241">
        <f>D22</f>
        <v>0.20499999999999999</v>
      </c>
      <c r="E44" s="241">
        <f t="shared" ref="E44:F44" si="19">E22</f>
        <v>0.37623430604373276</v>
      </c>
      <c r="F44" s="241">
        <f t="shared" si="19"/>
        <v>0.21695366571345676</v>
      </c>
      <c r="G44" s="262">
        <f>G22+M45</f>
        <v>0.18753083082529132</v>
      </c>
      <c r="H44" s="262">
        <f>G44+0.0025</f>
        <v>0.19003083082529132</v>
      </c>
      <c r="I44" s="262">
        <f t="shared" ref="I44:L44" si="20">H44+0.0025</f>
        <v>0.19253083082529132</v>
      </c>
      <c r="J44" s="262">
        <f t="shared" si="20"/>
        <v>0.19503083082529132</v>
      </c>
      <c r="K44" s="262">
        <f t="shared" si="20"/>
        <v>0.19753083082529133</v>
      </c>
      <c r="L44" s="262">
        <f t="shared" si="20"/>
        <v>0.20003083082529133</v>
      </c>
      <c r="M44" s="261" t="s">
        <v>266</v>
      </c>
    </row>
    <row r="45" spans="3:13" x14ac:dyDescent="0.25">
      <c r="C45" s="149" t="s">
        <v>33</v>
      </c>
      <c r="D45" s="241">
        <f t="shared" ref="D45:F45" si="21">D23</f>
        <v>0.59009988521399392</v>
      </c>
      <c r="E45" s="241">
        <f t="shared" si="21"/>
        <v>0.60432208131294296</v>
      </c>
      <c r="F45" s="241">
        <f t="shared" si="21"/>
        <v>0.57967485558360399</v>
      </c>
      <c r="G45" s="262">
        <f>G23-$M$45</f>
        <v>0.58499999999999996</v>
      </c>
      <c r="H45" s="262">
        <f t="shared" ref="H45:L45" si="22">H23-$M$45</f>
        <v>0.57999999999999996</v>
      </c>
      <c r="I45" s="262">
        <f t="shared" si="22"/>
        <v>0.57799999999999996</v>
      </c>
      <c r="J45" s="262">
        <f t="shared" si="22"/>
        <v>0.57499999999999996</v>
      </c>
      <c r="K45" s="262">
        <f t="shared" si="22"/>
        <v>0.57299999999999995</v>
      </c>
      <c r="L45" s="262">
        <f t="shared" si="22"/>
        <v>0.56999999999999995</v>
      </c>
      <c r="M45" s="154">
        <v>5.0000000000000001E-3</v>
      </c>
    </row>
    <row r="46" spans="3:13" x14ac:dyDescent="0.25">
      <c r="C46" s="148" t="s">
        <v>263</v>
      </c>
      <c r="D46" s="241">
        <f t="shared" ref="D46:F46" si="23">D24</f>
        <v>0.14341834152045116</v>
      </c>
      <c r="E46" s="241">
        <f t="shared" si="23"/>
        <v>0.15157331426913673</v>
      </c>
      <c r="F46" s="241">
        <f t="shared" si="23"/>
        <v>0.15987118525739535</v>
      </c>
      <c r="G46" s="263">
        <f>G24-$M$46</f>
        <v>0.155</v>
      </c>
      <c r="H46" s="263">
        <f t="shared" ref="H46:L46" si="24">H24-$M$46</f>
        <v>0.153</v>
      </c>
      <c r="I46" s="263">
        <f t="shared" si="24"/>
        <v>0.15</v>
      </c>
      <c r="J46" s="263">
        <f t="shared" si="24"/>
        <v>0.14699999999999999</v>
      </c>
      <c r="K46" s="263">
        <f t="shared" si="24"/>
        <v>0.14299999999999999</v>
      </c>
      <c r="L46" s="263">
        <f t="shared" si="24"/>
        <v>0.13999999999999999</v>
      </c>
      <c r="M46" s="154">
        <v>5.0000000000000001E-3</v>
      </c>
    </row>
    <row r="47" spans="3:13" x14ac:dyDescent="0.25">
      <c r="C47" s="148" t="s">
        <v>35</v>
      </c>
      <c r="D47" s="241">
        <f t="shared" ref="D47:F47" si="25">D25</f>
        <v>0.12808621070718162</v>
      </c>
      <c r="E47" s="241">
        <f t="shared" si="25"/>
        <v>0.11070703303079282</v>
      </c>
      <c r="F47" s="241">
        <f t="shared" si="25"/>
        <v>0.11930475797216818</v>
      </c>
      <c r="G47" s="262">
        <f>G25-0.0025</f>
        <v>0.1195</v>
      </c>
      <c r="H47" s="262">
        <f>H25-M46</f>
        <v>0.11499999999999999</v>
      </c>
      <c r="I47" s="262">
        <f>H47-0.0025</f>
        <v>0.11249999999999999</v>
      </c>
      <c r="J47" s="262">
        <f t="shared" ref="J47" si="26">I47-0.0025</f>
        <v>0.10999999999999999</v>
      </c>
      <c r="K47" s="240">
        <f>J47</f>
        <v>0.10999999999999999</v>
      </c>
      <c r="L47" s="240">
        <f>K47</f>
        <v>0.10999999999999999</v>
      </c>
    </row>
    <row r="48" spans="3:13" x14ac:dyDescent="0.25">
      <c r="C48" s="148" t="s">
        <v>36</v>
      </c>
      <c r="D48" s="241">
        <f t="shared" ref="D48:F48" si="27">D26</f>
        <v>6.7295969656568824E-2</v>
      </c>
      <c r="E48" s="241">
        <f t="shared" si="27"/>
        <v>5.7006092254134028E-2</v>
      </c>
      <c r="F48" s="241">
        <f t="shared" si="27"/>
        <v>6.9283686161993263E-2</v>
      </c>
      <c r="G48" s="262">
        <f>G26-M46</f>
        <v>6.699999999999999E-2</v>
      </c>
      <c r="H48" s="262">
        <f>G48-M46</f>
        <v>6.1999999999999993E-2</v>
      </c>
      <c r="I48" s="262">
        <f t="shared" ref="I48:L48" si="28">H48-0.0025</f>
        <v>5.949999999999999E-2</v>
      </c>
      <c r="J48" s="262">
        <f t="shared" si="28"/>
        <v>5.6999999999999988E-2</v>
      </c>
      <c r="K48" s="262">
        <f t="shared" si="28"/>
        <v>5.4499999999999986E-2</v>
      </c>
      <c r="L48" s="262">
        <f t="shared" si="28"/>
        <v>5.1999999999999984E-2</v>
      </c>
    </row>
    <row r="49" spans="3:13" x14ac:dyDescent="0.25">
      <c r="C49" s="148" t="s">
        <v>37</v>
      </c>
      <c r="D49" s="241">
        <f t="shared" ref="D49:F49" si="29">D27</f>
        <v>1.8547564896870834E-2</v>
      </c>
      <c r="E49" s="241">
        <f t="shared" si="29"/>
        <v>1.7271747689502258E-2</v>
      </c>
      <c r="F49" s="241">
        <f t="shared" si="29"/>
        <v>1.8779452643767215E-2</v>
      </c>
      <c r="G49" s="240">
        <f>G27</f>
        <v>2.1000000000000001E-2</v>
      </c>
      <c r="H49" s="240">
        <f t="shared" ref="H49:L49" si="30">H27</f>
        <v>1.9E-2</v>
      </c>
      <c r="I49" s="240">
        <f t="shared" si="30"/>
        <v>1.9E-2</v>
      </c>
      <c r="J49" s="240">
        <f t="shared" si="30"/>
        <v>1.9E-2</v>
      </c>
      <c r="K49" s="240">
        <f t="shared" si="30"/>
        <v>1.9E-2</v>
      </c>
      <c r="L49" s="240">
        <f t="shared" si="30"/>
        <v>1.9E-2</v>
      </c>
    </row>
    <row r="50" spans="3:13" x14ac:dyDescent="0.25">
      <c r="C50" s="148" t="s">
        <v>38</v>
      </c>
      <c r="D50" s="241">
        <f t="shared" ref="D50:F50" si="31">D28</f>
        <v>7.1652134235461028E-4</v>
      </c>
      <c r="E50" s="241">
        <f t="shared" si="31"/>
        <v>1.9426830784533136E-4</v>
      </c>
      <c r="F50" s="241">
        <f t="shared" si="31"/>
        <v>1.3196487180251244E-4</v>
      </c>
      <c r="G50" s="240">
        <f>G28</f>
        <v>0</v>
      </c>
      <c r="H50" s="240">
        <f t="shared" ref="H50:L50" si="32">H28</f>
        <v>0</v>
      </c>
      <c r="I50" s="240">
        <f t="shared" si="32"/>
        <v>0</v>
      </c>
      <c r="J50" s="240">
        <f t="shared" si="32"/>
        <v>0</v>
      </c>
      <c r="K50" s="240">
        <f t="shared" si="32"/>
        <v>0</v>
      </c>
      <c r="L50" s="240">
        <f t="shared" si="32"/>
        <v>0</v>
      </c>
    </row>
    <row r="51" spans="3:13" x14ac:dyDescent="0.25">
      <c r="C51" s="148" t="str">
        <f>C29</f>
        <v>Effective tax rate</v>
      </c>
      <c r="D51" s="241">
        <f t="shared" ref="D51:F51" si="33">D29</f>
        <v>0.16986262163709215</v>
      </c>
      <c r="E51" s="241">
        <f t="shared" si="33"/>
        <v>0.11915265523555851</v>
      </c>
      <c r="F51" s="241">
        <f t="shared" si="33"/>
        <v>0.12557993237398757</v>
      </c>
      <c r="G51" s="240">
        <f>G29</f>
        <v>0.13</v>
      </c>
      <c r="H51" s="240">
        <f t="shared" ref="H51:L51" si="34">H29</f>
        <v>0.13</v>
      </c>
      <c r="I51" s="240">
        <f t="shared" si="34"/>
        <v>0.13</v>
      </c>
      <c r="J51" s="240">
        <f t="shared" si="34"/>
        <v>0.128</v>
      </c>
      <c r="K51" s="240">
        <f t="shared" si="34"/>
        <v>0.126</v>
      </c>
      <c r="L51" s="240">
        <f t="shared" si="34"/>
        <v>0.126</v>
      </c>
    </row>
    <row r="52" spans="3:13" x14ac:dyDescent="0.25">
      <c r="C52" s="148" t="s">
        <v>84</v>
      </c>
      <c r="D52" s="241">
        <f t="shared" ref="D52:F52" si="35">D30</f>
        <v>6.0105802753438235E-2</v>
      </c>
      <c r="E52" s="241">
        <f t="shared" si="35"/>
        <v>0.10397239835882134</v>
      </c>
      <c r="F52" s="241">
        <f t="shared" si="35"/>
        <v>0.12994921480901278</v>
      </c>
      <c r="G52" s="151">
        <v>5.8182364091455198E-2</v>
      </c>
      <c r="H52" s="151">
        <v>5.4372039375533886E-2</v>
      </c>
      <c r="I52" s="151">
        <v>4.8188171172601046E-2</v>
      </c>
      <c r="J52" s="151">
        <v>4.2142556686418906E-2</v>
      </c>
      <c r="K52" s="151">
        <v>3.9157068000482624E-2</v>
      </c>
      <c r="L52" s="151">
        <v>3.9157068000482624E-2</v>
      </c>
    </row>
    <row r="53" spans="3:13" ht="14.4" thickBot="1" x14ac:dyDescent="0.3">
      <c r="C53" s="150"/>
      <c r="D53" s="150"/>
      <c r="E53" s="150"/>
      <c r="F53" s="150"/>
      <c r="G53" s="150"/>
      <c r="H53" s="150"/>
      <c r="I53" s="150"/>
      <c r="J53" s="150"/>
      <c r="K53" s="150"/>
      <c r="L53" s="150"/>
    </row>
    <row r="56" spans="3:13" hidden="1" outlineLevel="1" x14ac:dyDescent="0.25"/>
    <row r="57" spans="3:13" ht="14.4" hidden="1" outlineLevel="1" x14ac:dyDescent="0.3">
      <c r="C57" s="114" t="s">
        <v>561</v>
      </c>
      <c r="D57"/>
      <c r="E57"/>
      <c r="F57"/>
      <c r="G57"/>
      <c r="H57"/>
      <c r="I57"/>
      <c r="J57"/>
      <c r="K57"/>
      <c r="L57"/>
      <c r="M57"/>
    </row>
    <row r="58" spans="3:13" ht="14.4" hidden="1" outlineLevel="1" x14ac:dyDescent="0.3">
      <c r="C58" s="10" t="s">
        <v>562</v>
      </c>
      <c r="D58" s="500"/>
      <c r="E58" s="500"/>
      <c r="F58" s="500"/>
      <c r="G58" s="500"/>
      <c r="H58" s="500"/>
      <c r="I58" s="500"/>
      <c r="J58" s="500"/>
      <c r="K58" s="500"/>
      <c r="L58" s="500"/>
      <c r="M58" s="500"/>
    </row>
    <row r="59" spans="3:13" ht="15.6" hidden="1" outlineLevel="1" x14ac:dyDescent="0.3">
      <c r="C59" s="4" t="s">
        <v>85</v>
      </c>
      <c r="D59"/>
      <c r="E59"/>
      <c r="F59"/>
      <c r="G59" s="616">
        <v>20</v>
      </c>
      <c r="H59" s="623" t="s">
        <v>412</v>
      </c>
      <c r="I59" s="616">
        <v>25</v>
      </c>
      <c r="J59"/>
      <c r="K59"/>
      <c r="L59"/>
      <c r="M59"/>
    </row>
    <row r="60" spans="3:13" ht="15.6" hidden="1" outlineLevel="1" x14ac:dyDescent="0.3">
      <c r="C60" s="4" t="s">
        <v>320</v>
      </c>
      <c r="D60"/>
      <c r="E60"/>
      <c r="F60"/>
      <c r="G60" s="616">
        <v>4.3</v>
      </c>
      <c r="H60" s="623" t="s">
        <v>412</v>
      </c>
      <c r="I60" s="616">
        <v>5</v>
      </c>
      <c r="J60"/>
      <c r="K60"/>
      <c r="L60"/>
      <c r="M60"/>
    </row>
    <row r="61" spans="3:13" ht="15.6" hidden="1" outlineLevel="1" x14ac:dyDescent="0.3">
      <c r="C61" s="4" t="s">
        <v>321</v>
      </c>
      <c r="D61"/>
      <c r="E61"/>
      <c r="F61"/>
      <c r="G61" s="616">
        <v>25</v>
      </c>
      <c r="H61" s="623" t="s">
        <v>412</v>
      </c>
      <c r="I61" s="616">
        <v>40</v>
      </c>
      <c r="J61"/>
      <c r="K61"/>
      <c r="L61"/>
      <c r="M61"/>
    </row>
    <row r="62" spans="3:13" ht="14.4" hidden="1" outlineLevel="1" x14ac:dyDescent="0.3">
      <c r="C62"/>
      <c r="D62"/>
      <c r="E62"/>
      <c r="F62"/>
      <c r="G62"/>
      <c r="H62"/>
      <c r="I62"/>
      <c r="J62"/>
      <c r="K62"/>
      <c r="L62"/>
      <c r="M62"/>
    </row>
    <row r="63" spans="3:13" ht="14.4" hidden="1" outlineLevel="1" x14ac:dyDescent="0.3">
      <c r="C63" s="114" t="s">
        <v>261</v>
      </c>
      <c r="D63"/>
      <c r="E63"/>
      <c r="F63"/>
      <c r="G63"/>
      <c r="H63"/>
      <c r="I63"/>
      <c r="J63"/>
      <c r="K63"/>
      <c r="L63"/>
      <c r="M63"/>
    </row>
    <row r="64" spans="3:13" ht="15.6" hidden="1" outlineLevel="1" x14ac:dyDescent="0.3">
      <c r="C64" s="4" t="s">
        <v>85</v>
      </c>
      <c r="D64"/>
      <c r="E64"/>
      <c r="F64"/>
      <c r="G64" s="622">
        <v>0</v>
      </c>
      <c r="H64" s="622" t="s">
        <v>412</v>
      </c>
      <c r="I64" s="622">
        <v>0</v>
      </c>
      <c r="J64"/>
      <c r="K64"/>
      <c r="L64"/>
      <c r="M64"/>
    </row>
    <row r="65" spans="3:13" ht="15.6" hidden="1" outlineLevel="1" x14ac:dyDescent="0.3">
      <c r="C65" s="4" t="s">
        <v>320</v>
      </c>
      <c r="D65"/>
      <c r="E65"/>
      <c r="F65"/>
      <c r="G65" s="622">
        <v>0</v>
      </c>
      <c r="H65" s="622" t="s">
        <v>412</v>
      </c>
      <c r="I65" s="622">
        <v>0</v>
      </c>
      <c r="J65"/>
      <c r="K65"/>
      <c r="L65"/>
      <c r="M65"/>
    </row>
    <row r="66" spans="3:13" ht="15.6" hidden="1" outlineLevel="1" x14ac:dyDescent="0.3">
      <c r="C66" s="620" t="s">
        <v>321</v>
      </c>
      <c r="D66" s="269"/>
      <c r="E66" s="269"/>
      <c r="F66" s="269"/>
      <c r="G66" s="392">
        <v>0</v>
      </c>
      <c r="H66" s="392" t="s">
        <v>412</v>
      </c>
      <c r="I66" s="392">
        <v>0</v>
      </c>
      <c r="J66" s="269"/>
      <c r="K66" s="269"/>
      <c r="L66" s="269"/>
      <c r="M66" s="269"/>
    </row>
    <row r="67" spans="3:13" ht="14.4" hidden="1" outlineLevel="1" x14ac:dyDescent="0.3">
      <c r="C67"/>
      <c r="D67"/>
      <c r="E67"/>
      <c r="F67"/>
      <c r="G67"/>
      <c r="H67"/>
      <c r="I67"/>
      <c r="J67"/>
      <c r="K67"/>
      <c r="L67"/>
      <c r="M67"/>
    </row>
    <row r="68" spans="3:13" ht="14.4" hidden="1" outlineLevel="1" x14ac:dyDescent="0.3">
      <c r="C68" s="114" t="s">
        <v>564</v>
      </c>
      <c r="D68"/>
      <c r="E68"/>
      <c r="F68" s="617" t="s">
        <v>563</v>
      </c>
      <c r="G68"/>
      <c r="H68"/>
      <c r="I68"/>
      <c r="J68"/>
      <c r="K68"/>
      <c r="L68"/>
      <c r="M68"/>
    </row>
    <row r="69" spans="3:13" ht="15.6" hidden="1" outlineLevel="1" x14ac:dyDescent="0.3">
      <c r="C69" s="4" t="s">
        <v>85</v>
      </c>
      <c r="D69"/>
      <c r="E69"/>
      <c r="F69" s="618">
        <v>0</v>
      </c>
      <c r="G69" s="619">
        <v>0</v>
      </c>
      <c r="H69" s="619" t="s">
        <v>412</v>
      </c>
      <c r="I69" s="619">
        <v>0</v>
      </c>
      <c r="J69"/>
      <c r="K69"/>
      <c r="L69"/>
      <c r="M69"/>
    </row>
    <row r="70" spans="3:13" ht="15.6" hidden="1" outlineLevel="1" x14ac:dyDescent="0.3">
      <c r="C70" s="4" t="s">
        <v>320</v>
      </c>
      <c r="D70"/>
      <c r="E70"/>
      <c r="F70"/>
      <c r="G70" s="619">
        <v>0</v>
      </c>
      <c r="H70" s="619" t="s">
        <v>412</v>
      </c>
      <c r="I70" s="619">
        <v>0</v>
      </c>
      <c r="J70"/>
      <c r="K70"/>
      <c r="L70"/>
      <c r="M70"/>
    </row>
    <row r="71" spans="3:13" ht="15.6" hidden="1" outlineLevel="1" x14ac:dyDescent="0.3">
      <c r="C71" s="620" t="s">
        <v>321</v>
      </c>
      <c r="D71" s="269"/>
      <c r="E71" s="269"/>
      <c r="F71" s="269"/>
      <c r="G71" s="621">
        <v>0</v>
      </c>
      <c r="H71" s="621" t="s">
        <v>412</v>
      </c>
      <c r="I71" s="621">
        <v>0</v>
      </c>
      <c r="J71" s="269"/>
      <c r="K71" s="269"/>
      <c r="L71" s="269"/>
      <c r="M71" s="269"/>
    </row>
    <row r="72" spans="3:13" ht="14.4" hidden="1" outlineLevel="1" x14ac:dyDescent="0.3">
      <c r="C72"/>
      <c r="D72"/>
      <c r="E72"/>
      <c r="F72"/>
      <c r="G72"/>
      <c r="H72"/>
      <c r="I72"/>
      <c r="J72"/>
      <c r="K72"/>
      <c r="L72"/>
      <c r="M72"/>
    </row>
    <row r="73" spans="3:13" ht="14.4" hidden="1" outlineLevel="1" x14ac:dyDescent="0.3">
      <c r="C73" s="114" t="s">
        <v>260</v>
      </c>
      <c r="D73"/>
      <c r="E73"/>
      <c r="F73" s="617" t="s">
        <v>563</v>
      </c>
      <c r="G73"/>
      <c r="H73"/>
      <c r="I73"/>
      <c r="J73"/>
      <c r="K73"/>
      <c r="L73"/>
      <c r="M73"/>
    </row>
    <row r="74" spans="3:13" ht="15.6" hidden="1" outlineLevel="1" x14ac:dyDescent="0.3">
      <c r="C74" s="4" t="s">
        <v>85</v>
      </c>
      <c r="D74"/>
      <c r="E74"/>
      <c r="F74" s="618">
        <v>0</v>
      </c>
      <c r="G74" s="619">
        <v>0</v>
      </c>
      <c r="H74" s="619" t="s">
        <v>412</v>
      </c>
      <c r="I74" s="619">
        <v>0</v>
      </c>
      <c r="J74"/>
      <c r="K74"/>
      <c r="L74"/>
      <c r="M74"/>
    </row>
    <row r="75" spans="3:13" ht="15.6" hidden="1" outlineLevel="1" x14ac:dyDescent="0.3">
      <c r="C75" s="4" t="s">
        <v>320</v>
      </c>
      <c r="D75"/>
      <c r="E75"/>
      <c r="F75"/>
      <c r="G75" s="619">
        <v>0</v>
      </c>
      <c r="H75" s="619" t="s">
        <v>412</v>
      </c>
      <c r="I75" s="619">
        <v>0</v>
      </c>
      <c r="J75"/>
      <c r="K75"/>
      <c r="L75"/>
      <c r="M75"/>
    </row>
    <row r="76" spans="3:13" ht="15.6" hidden="1" outlineLevel="1" x14ac:dyDescent="0.3">
      <c r="C76" s="620" t="s">
        <v>321</v>
      </c>
      <c r="D76" s="269"/>
      <c r="E76" s="269"/>
      <c r="F76" s="269"/>
      <c r="G76" s="621">
        <v>0</v>
      </c>
      <c r="H76" s="621" t="s">
        <v>412</v>
      </c>
      <c r="I76" s="621">
        <v>0</v>
      </c>
      <c r="J76" s="269"/>
      <c r="K76" s="269"/>
      <c r="L76" s="269"/>
      <c r="M76" s="269"/>
    </row>
    <row r="77" spans="3:13" hidden="1" outlineLevel="1" x14ac:dyDescent="0.25"/>
    <row r="78" spans="3:13" hidden="1" outlineLevel="1" x14ac:dyDescent="0.25"/>
    <row r="79" spans="3:13" hidden="1" outlineLevel="1" x14ac:dyDescent="0.25"/>
    <row r="80" spans="3:13" collapsed="1" x14ac:dyDescent="0.25"/>
  </sheetData>
  <sheetProtection algorithmName="SHA-512" hashValue="vZiDYPnUVTVGgu7kZrnnFmRLjji7UuEaQODZXgJe8gYpJDCyR0euTSvYarZ8ZjdPIBUKwfCvqEDpuqS8mBQsWA==" saltValue="HefLy5Ww9r0sF9JhA+cYmg==" spinCount="100000" sheet="1" objects="1" scenarios="1"/>
  <pageMargins left="0.7" right="0.7" top="0.75" bottom="0.75" header="0.3" footer="0.3"/>
  <pageSetup scale="69" orientation="landscape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C5:O63"/>
  <sheetViews>
    <sheetView showGridLines="0" topLeftCell="A22" zoomScaleNormal="100" zoomScaleSheetLayoutView="100" workbookViewId="0">
      <selection activeCell="D5" sqref="D5"/>
    </sheetView>
  </sheetViews>
  <sheetFormatPr defaultRowHeight="14.4" outlineLevelRow="1" x14ac:dyDescent="0.3"/>
  <cols>
    <col min="3" max="3" width="33.109375" bestFit="1" customWidth="1"/>
    <col min="4" max="12" width="12.6640625" customWidth="1"/>
    <col min="13" max="15" width="11.109375" customWidth="1"/>
  </cols>
  <sheetData>
    <row r="5" spans="3:15" x14ac:dyDescent="0.3">
      <c r="C5" s="12" t="s">
        <v>239</v>
      </c>
      <c r="D5" s="11"/>
      <c r="E5" s="11"/>
      <c r="F5" s="11"/>
      <c r="G5" s="11"/>
      <c r="H5" s="11"/>
      <c r="I5" s="11"/>
      <c r="J5" s="11"/>
      <c r="K5" s="11"/>
      <c r="L5" s="11"/>
      <c r="O5" s="168"/>
    </row>
    <row r="6" spans="3:15" x14ac:dyDescent="0.3">
      <c r="C6" s="108" t="s">
        <v>74</v>
      </c>
      <c r="D6" s="11"/>
      <c r="E6" s="11"/>
      <c r="F6" s="11"/>
      <c r="G6" s="11"/>
      <c r="H6" s="11"/>
      <c r="I6" s="11"/>
      <c r="J6" s="11"/>
      <c r="K6" s="11"/>
      <c r="L6" s="11"/>
    </row>
    <row r="7" spans="3:15" x14ac:dyDescent="0.3">
      <c r="C7" s="13"/>
      <c r="D7" s="14" t="s">
        <v>73</v>
      </c>
      <c r="E7" s="14"/>
      <c r="F7" s="14"/>
      <c r="G7" s="14" t="s">
        <v>30</v>
      </c>
      <c r="H7" s="15"/>
      <c r="I7" s="15"/>
      <c r="J7" s="15"/>
      <c r="K7" s="15"/>
      <c r="L7" s="15"/>
    </row>
    <row r="8" spans="3:15" x14ac:dyDescent="0.3">
      <c r="C8" s="16"/>
      <c r="D8" s="17">
        <v>2019</v>
      </c>
      <c r="E8" s="17">
        <v>2020</v>
      </c>
      <c r="F8" s="17">
        <v>2021</v>
      </c>
      <c r="G8" s="18">
        <f t="shared" ref="G8:L8" si="0">F8+1</f>
        <v>2022</v>
      </c>
      <c r="H8" s="18">
        <f t="shared" si="0"/>
        <v>2023</v>
      </c>
      <c r="I8" s="18">
        <f t="shared" si="0"/>
        <v>2024</v>
      </c>
      <c r="J8" s="18">
        <f t="shared" si="0"/>
        <v>2025</v>
      </c>
      <c r="K8" s="18">
        <f t="shared" si="0"/>
        <v>2026</v>
      </c>
      <c r="L8" s="18">
        <f t="shared" si="0"/>
        <v>2027</v>
      </c>
      <c r="M8" s="64"/>
      <c r="N8" s="64"/>
      <c r="O8" s="64"/>
    </row>
    <row r="9" spans="3:15" ht="2.1" customHeight="1" x14ac:dyDescent="0.3"/>
    <row r="10" spans="3:15" x14ac:dyDescent="0.3">
      <c r="C10" s="152" t="s">
        <v>240</v>
      </c>
      <c r="F10" s="130"/>
    </row>
    <row r="11" spans="3:15" x14ac:dyDescent="0.3">
      <c r="C11" s="4" t="s">
        <v>241</v>
      </c>
      <c r="D11" s="126">
        <f>'Financial model'!D9</f>
        <v>160408</v>
      </c>
      <c r="E11" s="126">
        <f>'Financial model'!E9</f>
        <v>215915</v>
      </c>
      <c r="F11" s="131">
        <f>'Financial model'!F9</f>
        <v>241787</v>
      </c>
      <c r="G11" s="160">
        <f>G45*G13</f>
        <v>285920.58199275471</v>
      </c>
      <c r="H11" s="160">
        <f t="shared" ref="H11:L11" si="1">H45*H13</f>
        <v>336533.93742523761</v>
      </c>
      <c r="I11" s="160">
        <f t="shared" si="1"/>
        <v>388474.5373737287</v>
      </c>
      <c r="J11" s="160">
        <f t="shared" si="1"/>
        <v>450630.46335352527</v>
      </c>
      <c r="K11" s="160">
        <f t="shared" si="1"/>
        <v>522731.33749008924</v>
      </c>
      <c r="L11" s="160">
        <f t="shared" si="1"/>
        <v>606368.35148850339</v>
      </c>
    </row>
    <row r="12" spans="3:15" x14ac:dyDescent="0.3">
      <c r="C12" s="124" t="s">
        <v>242</v>
      </c>
      <c r="D12" s="129">
        <f>'Financial model'!D10</f>
        <v>120114</v>
      </c>
      <c r="E12" s="129">
        <f>'Financial model'!E10</f>
        <v>170149</v>
      </c>
      <c r="F12" s="132">
        <f>'Financial model'!F10</f>
        <v>228035</v>
      </c>
      <c r="G12" s="161">
        <f>G46*G13</f>
        <v>269658.41800724529</v>
      </c>
      <c r="H12" s="161">
        <f t="shared" ref="H12:L12" si="2">H46*H13</f>
        <v>317393.06257476239</v>
      </c>
      <c r="I12" s="161">
        <f t="shared" si="2"/>
        <v>366379.46262627118</v>
      </c>
      <c r="J12" s="161">
        <f t="shared" si="2"/>
        <v>425000.17664647452</v>
      </c>
      <c r="K12" s="161">
        <f t="shared" si="2"/>
        <v>493000.20490991045</v>
      </c>
      <c r="L12" s="161">
        <f t="shared" si="2"/>
        <v>571880.23769549606</v>
      </c>
    </row>
    <row r="13" spans="3:15" x14ac:dyDescent="0.3">
      <c r="C13" s="114" t="s">
        <v>243</v>
      </c>
      <c r="D13" s="123">
        <f>SUM(D11:D12)</f>
        <v>280522</v>
      </c>
      <c r="E13" s="123">
        <f>SUM(E11:E12)</f>
        <v>386064</v>
      </c>
      <c r="F13" s="133">
        <f>SUM(F11:F12)</f>
        <v>469822</v>
      </c>
      <c r="G13" s="123">
        <f>F13*(1+G30)</f>
        <v>555579</v>
      </c>
      <c r="H13" s="123">
        <f t="shared" ref="H13:L13" si="3">G13*(1+H30)</f>
        <v>653927</v>
      </c>
      <c r="I13" s="123">
        <f t="shared" si="3"/>
        <v>754853.99999999988</v>
      </c>
      <c r="J13" s="123">
        <f t="shared" si="3"/>
        <v>875630.63999999978</v>
      </c>
      <c r="K13" s="123">
        <f t="shared" si="3"/>
        <v>1015731.5423999997</v>
      </c>
      <c r="L13" s="123">
        <f t="shared" si="3"/>
        <v>1178248.5891839995</v>
      </c>
      <c r="M13" s="123"/>
      <c r="N13" s="123"/>
      <c r="O13" s="123"/>
    </row>
    <row r="14" spans="3:15" x14ac:dyDescent="0.3">
      <c r="F14" s="130"/>
    </row>
    <row r="15" spans="3:15" x14ac:dyDescent="0.3">
      <c r="C15" s="152" t="s">
        <v>250</v>
      </c>
      <c r="F15" s="130"/>
    </row>
    <row r="16" spans="3:15" x14ac:dyDescent="0.3">
      <c r="C16" s="4" t="s">
        <v>251</v>
      </c>
      <c r="D16" s="125">
        <v>170773</v>
      </c>
      <c r="E16" s="125">
        <v>236282</v>
      </c>
      <c r="F16" s="651">
        <v>279833</v>
      </c>
      <c r="G16" s="160">
        <f>G48*G19</f>
        <v>330911.14998233371</v>
      </c>
      <c r="H16" s="160">
        <f t="shared" ref="H16:L16" si="4">H48*H19</f>
        <v>389488.68761147838</v>
      </c>
      <c r="I16" s="160">
        <f t="shared" si="4"/>
        <v>449602.31615803426</v>
      </c>
      <c r="J16" s="160">
        <f t="shared" si="4"/>
        <v>521538.68674331967</v>
      </c>
      <c r="K16" s="160">
        <f t="shared" si="4"/>
        <v>604984.87662225077</v>
      </c>
      <c r="L16" s="160">
        <f t="shared" si="4"/>
        <v>701782.45688181079</v>
      </c>
    </row>
    <row r="17" spans="3:15" x14ac:dyDescent="0.3">
      <c r="C17" s="4" t="s">
        <v>252</v>
      </c>
      <c r="D17" s="652">
        <v>74723</v>
      </c>
      <c r="E17" s="652">
        <v>104412</v>
      </c>
      <c r="F17" s="653">
        <v>127787</v>
      </c>
      <c r="G17" s="162">
        <f>G49*G19</f>
        <v>151112.06727867149</v>
      </c>
      <c r="H17" s="162">
        <f t="shared" ref="H17:L17" si="5">H49*H19</f>
        <v>177861.76370838317</v>
      </c>
      <c r="I17" s="162">
        <f t="shared" si="5"/>
        <v>205312.92297508413</v>
      </c>
      <c r="J17" s="162">
        <f t="shared" si="5"/>
        <v>238162.99065109759</v>
      </c>
      <c r="K17" s="162">
        <f t="shared" si="5"/>
        <v>276269.06915527314</v>
      </c>
      <c r="L17" s="162">
        <f t="shared" si="5"/>
        <v>320472.12022011681</v>
      </c>
    </row>
    <row r="18" spans="3:15" x14ac:dyDescent="0.3">
      <c r="C18" s="4" t="str">
        <f>C26</f>
        <v>Amazon Web Services (AWS)</v>
      </c>
      <c r="D18" s="652">
        <v>35026</v>
      </c>
      <c r="E18" s="652">
        <v>45370</v>
      </c>
      <c r="F18" s="653">
        <v>62202</v>
      </c>
      <c r="G18" s="163">
        <f>G50*G19</f>
        <v>73555.782738994763</v>
      </c>
      <c r="H18" s="163">
        <f t="shared" ref="H18:L18" si="6">H50*H19</f>
        <v>86576.548680138425</v>
      </c>
      <c r="I18" s="163">
        <f t="shared" si="6"/>
        <v>99938.760866881479</v>
      </c>
      <c r="J18" s="163">
        <f t="shared" si="6"/>
        <v>115928.96260558251</v>
      </c>
      <c r="K18" s="163">
        <f t="shared" si="6"/>
        <v>134477.59662247568</v>
      </c>
      <c r="L18" s="163">
        <f t="shared" si="6"/>
        <v>155994.01208207177</v>
      </c>
    </row>
    <row r="19" spans="3:15" x14ac:dyDescent="0.3">
      <c r="C19" s="654" t="s">
        <v>243</v>
      </c>
      <c r="D19" s="655">
        <f>SUM(D16:D18)</f>
        <v>280522</v>
      </c>
      <c r="E19" s="655">
        <f>SUM(E16:E18)</f>
        <v>386064</v>
      </c>
      <c r="F19" s="656">
        <f>SUM(F16:F18)</f>
        <v>469822</v>
      </c>
      <c r="G19" s="123">
        <f>F19*(1+G30)</f>
        <v>555579</v>
      </c>
      <c r="H19" s="123">
        <f t="shared" ref="H19:L19" si="7">G19*(1+H30)</f>
        <v>653927</v>
      </c>
      <c r="I19" s="123">
        <f t="shared" si="7"/>
        <v>754853.99999999988</v>
      </c>
      <c r="J19" s="123">
        <f t="shared" si="7"/>
        <v>875630.63999999978</v>
      </c>
      <c r="K19" s="123">
        <f t="shared" si="7"/>
        <v>1015731.5423999997</v>
      </c>
      <c r="L19" s="123">
        <f t="shared" si="7"/>
        <v>1178248.5891839995</v>
      </c>
    </row>
    <row r="20" spans="3:15" x14ac:dyDescent="0.3">
      <c r="C20" s="114"/>
      <c r="F20" s="130"/>
    </row>
    <row r="21" spans="3:15" x14ac:dyDescent="0.3">
      <c r="C21" s="152" t="s">
        <v>244</v>
      </c>
      <c r="F21" s="130"/>
    </row>
    <row r="22" spans="3:15" x14ac:dyDescent="0.3">
      <c r="C22" s="4" t="s">
        <v>245</v>
      </c>
      <c r="D22" s="125">
        <v>141247</v>
      </c>
      <c r="E22" s="125">
        <v>197346</v>
      </c>
      <c r="F22" s="651">
        <v>222075</v>
      </c>
      <c r="G22" s="160">
        <f>G52*G28</f>
        <v>262610.53425552655</v>
      </c>
      <c r="H22" s="160">
        <f t="shared" ref="H22:L22" si="8">H52*H28</f>
        <v>309097.5699839514</v>
      </c>
      <c r="I22" s="160">
        <f t="shared" si="8"/>
        <v>356803.64489104378</v>
      </c>
      <c r="J22" s="160">
        <f t="shared" si="8"/>
        <v>413892.22807361075</v>
      </c>
      <c r="K22" s="160">
        <f t="shared" si="8"/>
        <v>480114.98456538847</v>
      </c>
      <c r="L22" s="160">
        <f t="shared" si="8"/>
        <v>556933.38209585054</v>
      </c>
    </row>
    <row r="23" spans="3:15" x14ac:dyDescent="0.3">
      <c r="C23" s="4" t="s">
        <v>246</v>
      </c>
      <c r="D23" s="127">
        <v>17192</v>
      </c>
      <c r="E23" s="127">
        <v>16227</v>
      </c>
      <c r="F23" s="657">
        <v>17075</v>
      </c>
      <c r="G23" s="167">
        <f>G53*G28</f>
        <v>20191.71393634185</v>
      </c>
      <c r="H23" s="167">
        <f t="shared" ref="H23:L23" si="9">H53*H28</f>
        <v>23766.029528204301</v>
      </c>
      <c r="I23" s="167">
        <f t="shared" si="9"/>
        <v>27434.075139095228</v>
      </c>
      <c r="J23" s="167">
        <f t="shared" si="9"/>
        <v>31823.527161350463</v>
      </c>
      <c r="K23" s="167">
        <f t="shared" si="9"/>
        <v>36915.291507166534</v>
      </c>
      <c r="L23" s="167">
        <f t="shared" si="9"/>
        <v>42821.738148313176</v>
      </c>
    </row>
    <row r="24" spans="3:15" x14ac:dyDescent="0.3">
      <c r="C24" s="4" t="s">
        <v>247</v>
      </c>
      <c r="D24" s="127">
        <v>53762</v>
      </c>
      <c r="E24" s="127">
        <v>80461</v>
      </c>
      <c r="F24" s="657">
        <v>103366</v>
      </c>
      <c r="G24" s="167">
        <f>G54*G28</f>
        <v>122233.48185908706</v>
      </c>
      <c r="H24" s="167">
        <f t="shared" ref="H24:L24" si="10">H54*H28</f>
        <v>143871.12200365245</v>
      </c>
      <c r="I24" s="167">
        <f t="shared" si="10"/>
        <v>166076.17047307274</v>
      </c>
      <c r="J24" s="167">
        <f t="shared" si="10"/>
        <v>192648.35774876436</v>
      </c>
      <c r="K24" s="167">
        <f t="shared" si="10"/>
        <v>223472.09498856665</v>
      </c>
      <c r="L24" s="167">
        <f t="shared" si="10"/>
        <v>259227.63018673728</v>
      </c>
    </row>
    <row r="25" spans="3:15" x14ac:dyDescent="0.3">
      <c r="C25" s="4" t="s">
        <v>248</v>
      </c>
      <c r="D25" s="127">
        <v>19210</v>
      </c>
      <c r="E25" s="127">
        <v>25207</v>
      </c>
      <c r="F25" s="657">
        <v>31768</v>
      </c>
      <c r="G25" s="167">
        <f>G55*G28</f>
        <v>37566.639433657852</v>
      </c>
      <c r="H25" s="167">
        <f t="shared" ref="H25:L25" si="11">H55*H28</f>
        <v>44216.645742430112</v>
      </c>
      <c r="I25" s="167">
        <f t="shared" si="11"/>
        <v>51041.036545755618</v>
      </c>
      <c r="J25" s="167">
        <f t="shared" si="11"/>
        <v>59207.602393076508</v>
      </c>
      <c r="K25" s="167">
        <f t="shared" si="11"/>
        <v>68680.818775968743</v>
      </c>
      <c r="L25" s="167">
        <f t="shared" si="11"/>
        <v>79669.749780123733</v>
      </c>
    </row>
    <row r="26" spans="3:15" x14ac:dyDescent="0.3">
      <c r="C26" s="4" t="s">
        <v>249</v>
      </c>
      <c r="D26" s="127">
        <v>35026</v>
      </c>
      <c r="E26" s="127">
        <v>45370</v>
      </c>
      <c r="F26" s="657">
        <v>62202</v>
      </c>
      <c r="G26" s="167">
        <f>G56*G28</f>
        <v>73555.782738994763</v>
      </c>
      <c r="H26" s="167">
        <f t="shared" ref="H26:L26" si="12">H56*H28</f>
        <v>86576.548680138425</v>
      </c>
      <c r="I26" s="167">
        <f t="shared" si="12"/>
        <v>99938.760866881479</v>
      </c>
      <c r="J26" s="167">
        <f t="shared" si="12"/>
        <v>115928.96260558251</v>
      </c>
      <c r="K26" s="167">
        <f t="shared" si="12"/>
        <v>134477.59662247568</v>
      </c>
      <c r="L26" s="167">
        <f t="shared" si="12"/>
        <v>155994.01208207177</v>
      </c>
    </row>
    <row r="27" spans="3:15" x14ac:dyDescent="0.3">
      <c r="C27" s="124" t="s">
        <v>232</v>
      </c>
      <c r="D27" s="127">
        <v>14085</v>
      </c>
      <c r="E27" s="128">
        <f>45370+1680</f>
        <v>47050</v>
      </c>
      <c r="F27" s="658">
        <f>31160+2176</f>
        <v>33336</v>
      </c>
      <c r="G27" s="161">
        <f>G28*G57</f>
        <v>39420.847776391907</v>
      </c>
      <c r="H27" s="161">
        <f t="shared" ref="H27:L27" si="13">H28*H57</f>
        <v>46399.084061623333</v>
      </c>
      <c r="I27" s="161">
        <f t="shared" si="13"/>
        <v>53560.312084151003</v>
      </c>
      <c r="J27" s="161">
        <f t="shared" si="13"/>
        <v>62129.962017615158</v>
      </c>
      <c r="K27" s="161">
        <f t="shared" si="13"/>
        <v>72070.755940433577</v>
      </c>
      <c r="L27" s="161">
        <f t="shared" si="13"/>
        <v>83602.076890902943</v>
      </c>
    </row>
    <row r="28" spans="3:15" x14ac:dyDescent="0.3">
      <c r="C28" s="114" t="s">
        <v>243</v>
      </c>
      <c r="D28" s="655">
        <f>SUM(D22:D27)</f>
        <v>280522</v>
      </c>
      <c r="E28" s="123">
        <f>SUM(E22:E27)</f>
        <v>411661</v>
      </c>
      <c r="F28" s="133">
        <f>SUM(F22:F27)</f>
        <v>469822</v>
      </c>
      <c r="G28" s="123">
        <f>F28*(1+G30)</f>
        <v>555579</v>
      </c>
      <c r="H28" s="123">
        <f t="shared" ref="H28:L28" si="14">G28*(1+H30)</f>
        <v>653927</v>
      </c>
      <c r="I28" s="123">
        <f t="shared" si="14"/>
        <v>754853.99999999988</v>
      </c>
      <c r="J28" s="123">
        <f t="shared" si="14"/>
        <v>875630.63999999978</v>
      </c>
      <c r="K28" s="123">
        <f t="shared" si="14"/>
        <v>1015731.5423999997</v>
      </c>
      <c r="L28" s="123">
        <f t="shared" si="14"/>
        <v>1178248.5891839995</v>
      </c>
    </row>
    <row r="29" spans="3:15" x14ac:dyDescent="0.3">
      <c r="F29" s="130"/>
    </row>
    <row r="30" spans="3:15" x14ac:dyDescent="0.3">
      <c r="C30" s="26" t="s">
        <v>265</v>
      </c>
      <c r="D30" s="659">
        <v>0.20454125820676983</v>
      </c>
      <c r="E30" s="139">
        <f>E28/D28-1</f>
        <v>0.46748205131861309</v>
      </c>
      <c r="F30" s="135">
        <f>F28/E28-1</f>
        <v>0.14128372617274887</v>
      </c>
      <c r="G30" s="159">
        <f>Scenarios!G11</f>
        <v>0.18253083082529131</v>
      </c>
      <c r="H30" s="159">
        <f>Scenarios!H11</f>
        <v>0.17701892980116241</v>
      </c>
      <c r="I30" s="159">
        <f>Scenarios!I11</f>
        <v>0.1543398575070305</v>
      </c>
      <c r="J30" s="159">
        <f>Scenarios!J11</f>
        <v>0.15999999999999992</v>
      </c>
      <c r="K30" s="159">
        <f>Scenarios!K11</f>
        <v>0.15999999999999992</v>
      </c>
      <c r="L30" s="159">
        <f>Scenarios!L11</f>
        <v>0.15999999999999992</v>
      </c>
      <c r="M30" s="115"/>
      <c r="N30" s="115"/>
      <c r="O30" s="115"/>
    </row>
    <row r="31" spans="3:15" outlineLevel="1" x14ac:dyDescent="0.3">
      <c r="C31" s="26" t="str">
        <f>C11</f>
        <v>Product sales</v>
      </c>
      <c r="D31" s="659">
        <v>0.13031039706866787</v>
      </c>
      <c r="E31" s="139">
        <f t="shared" ref="E31:G32" si="15">E11/D11-1</f>
        <v>0.34603635728891335</v>
      </c>
      <c r="F31" s="155">
        <f t="shared" si="15"/>
        <v>0.11982493110714865</v>
      </c>
      <c r="G31" s="139">
        <f t="shared" si="15"/>
        <v>0.18253083082529131</v>
      </c>
      <c r="H31" s="139">
        <f t="shared" ref="H31:L31" si="16">H11/G11-1</f>
        <v>0.17701892980116218</v>
      </c>
      <c r="I31" s="139">
        <f t="shared" si="16"/>
        <v>0.1543398575070305</v>
      </c>
      <c r="J31" s="139">
        <f t="shared" si="16"/>
        <v>0.15999999999999992</v>
      </c>
      <c r="K31" s="139">
        <f t="shared" si="16"/>
        <v>0.15999999999999992</v>
      </c>
      <c r="L31" s="139">
        <f t="shared" si="16"/>
        <v>0.1599999999999997</v>
      </c>
    </row>
    <row r="32" spans="3:15" outlineLevel="1" x14ac:dyDescent="0.3">
      <c r="C32" s="156" t="str">
        <f>C12</f>
        <v>Services Sales</v>
      </c>
      <c r="D32" s="660">
        <v>0.32034032449544925</v>
      </c>
      <c r="E32" s="157">
        <f t="shared" si="15"/>
        <v>0.41656259886441216</v>
      </c>
      <c r="F32" s="158">
        <f t="shared" si="15"/>
        <v>0.34020770030972858</v>
      </c>
      <c r="G32" s="157">
        <f t="shared" si="15"/>
        <v>0.18253083082529131</v>
      </c>
      <c r="H32" s="157">
        <f t="shared" ref="H32:L32" si="17">H12/G12-1</f>
        <v>0.17701892980116263</v>
      </c>
      <c r="I32" s="157">
        <f t="shared" si="17"/>
        <v>0.15433985750703028</v>
      </c>
      <c r="J32" s="157">
        <f t="shared" si="17"/>
        <v>0.15999999999999992</v>
      </c>
      <c r="K32" s="157">
        <f t="shared" si="17"/>
        <v>0.15999999999999992</v>
      </c>
      <c r="L32" s="157">
        <f t="shared" si="17"/>
        <v>0.15999999999999992</v>
      </c>
    </row>
    <row r="33" spans="3:12" outlineLevel="1" x14ac:dyDescent="0.3">
      <c r="C33" s="26" t="str">
        <f>C16</f>
        <v>North America</v>
      </c>
      <c r="D33" s="659">
        <v>0.20802031605902416</v>
      </c>
      <c r="E33" s="139">
        <f>E16/D16-1</f>
        <v>0.38360279435273736</v>
      </c>
      <c r="F33" s="155">
        <f>F16/E16-1</f>
        <v>0.1843178913332375</v>
      </c>
      <c r="G33" s="139">
        <f>G16/F16-1</f>
        <v>0.18253083082529109</v>
      </c>
      <c r="H33" s="139">
        <f t="shared" ref="H33:L35" si="18">H16/G16-1</f>
        <v>0.17701892980116241</v>
      </c>
      <c r="I33" s="139">
        <f t="shared" si="18"/>
        <v>0.1543398575070305</v>
      </c>
      <c r="J33" s="139">
        <f t="shared" si="18"/>
        <v>0.15999999999999992</v>
      </c>
      <c r="K33" s="139">
        <f t="shared" si="18"/>
        <v>0.15999999999999992</v>
      </c>
      <c r="L33" s="139">
        <f t="shared" si="18"/>
        <v>0.15999999999999992</v>
      </c>
    </row>
    <row r="34" spans="3:12" outlineLevel="1" x14ac:dyDescent="0.3">
      <c r="C34" s="26" t="str">
        <f t="shared" ref="C34:C35" si="19">C17</f>
        <v>International</v>
      </c>
      <c r="D34" s="659">
        <v>0.13446998451401337</v>
      </c>
      <c r="E34" s="139">
        <f t="shared" ref="E34:G35" si="20">E17/D17-1</f>
        <v>0.39732077138230526</v>
      </c>
      <c r="F34" s="155">
        <f t="shared" si="20"/>
        <v>0.22387273493468185</v>
      </c>
      <c r="G34" s="139">
        <f t="shared" si="20"/>
        <v>0.18253083082529109</v>
      </c>
      <c r="H34" s="139">
        <f t="shared" si="18"/>
        <v>0.17701892980116241</v>
      </c>
      <c r="I34" s="139">
        <f t="shared" si="18"/>
        <v>0.1543398575070305</v>
      </c>
      <c r="J34" s="139">
        <f t="shared" si="18"/>
        <v>0.15999999999999992</v>
      </c>
      <c r="K34" s="139">
        <f t="shared" si="18"/>
        <v>0.1599999999999997</v>
      </c>
      <c r="L34" s="139">
        <f t="shared" si="18"/>
        <v>0.15999999999999992</v>
      </c>
    </row>
    <row r="35" spans="3:12" outlineLevel="1" x14ac:dyDescent="0.3">
      <c r="C35" s="156" t="str">
        <f t="shared" si="19"/>
        <v>Amazon Web Services (AWS)</v>
      </c>
      <c r="D35" s="660">
        <v>0.36526992788930035</v>
      </c>
      <c r="E35" s="157">
        <f t="shared" si="20"/>
        <v>0.29532347399074976</v>
      </c>
      <c r="F35" s="158">
        <f t="shared" si="20"/>
        <v>0.37099404893101173</v>
      </c>
      <c r="G35" s="157">
        <f t="shared" si="20"/>
        <v>0.18253083082529131</v>
      </c>
      <c r="H35" s="157">
        <f t="shared" si="18"/>
        <v>0.17701892980116241</v>
      </c>
      <c r="I35" s="157">
        <f t="shared" si="18"/>
        <v>0.1543398575070305</v>
      </c>
      <c r="J35" s="157">
        <f t="shared" si="18"/>
        <v>0.15999999999999992</v>
      </c>
      <c r="K35" s="157">
        <f t="shared" si="18"/>
        <v>0.1599999999999997</v>
      </c>
      <c r="L35" s="157">
        <f t="shared" si="18"/>
        <v>0.15999999999999992</v>
      </c>
    </row>
    <row r="36" spans="3:12" outlineLevel="1" x14ac:dyDescent="0.3">
      <c r="C36" s="26" t="str">
        <f>C22</f>
        <v>Online stores</v>
      </c>
      <c r="D36" s="659">
        <v>0.14847097660728359</v>
      </c>
      <c r="E36" s="139">
        <f>E22/D22-1</f>
        <v>0.39716949740525465</v>
      </c>
      <c r="F36" s="155">
        <f>F22/E22-1</f>
        <v>0.12530783497005249</v>
      </c>
      <c r="G36" s="139">
        <f>G22/F22-1</f>
        <v>0.18253083082529131</v>
      </c>
      <c r="H36" s="139">
        <f t="shared" ref="H36:L41" si="21">H22/G22-1</f>
        <v>0.17701892980116263</v>
      </c>
      <c r="I36" s="139">
        <f t="shared" si="21"/>
        <v>0.15433985750703028</v>
      </c>
      <c r="J36" s="139">
        <f t="shared" si="21"/>
        <v>0.15999999999999992</v>
      </c>
      <c r="K36" s="139">
        <f t="shared" si="21"/>
        <v>0.15999999999999992</v>
      </c>
      <c r="L36" s="139">
        <f t="shared" si="21"/>
        <v>0.15999999999999992</v>
      </c>
    </row>
    <row r="37" spans="3:12" outlineLevel="1" x14ac:dyDescent="0.3">
      <c r="C37" s="26" t="str">
        <f t="shared" ref="C37:C41" si="22">C23</f>
        <v>Physical Stores</v>
      </c>
      <c r="D37" s="659">
        <v>-1.8578727357175806E-3</v>
      </c>
      <c r="E37" s="139">
        <f t="shared" ref="E37:G37" si="23">E23/D23-1</f>
        <v>-5.6130758492321964E-2</v>
      </c>
      <c r="F37" s="155">
        <f t="shared" si="23"/>
        <v>5.2258581376717794E-2</v>
      </c>
      <c r="G37" s="139">
        <f t="shared" si="23"/>
        <v>0.18253083082529131</v>
      </c>
      <c r="H37" s="139">
        <f t="shared" si="21"/>
        <v>0.17701892980116241</v>
      </c>
      <c r="I37" s="139">
        <f t="shared" si="21"/>
        <v>0.15433985750703028</v>
      </c>
      <c r="J37" s="139">
        <f t="shared" si="21"/>
        <v>0.15999999999999992</v>
      </c>
      <c r="K37" s="139">
        <f t="shared" si="21"/>
        <v>0.15999999999999992</v>
      </c>
      <c r="L37" s="139">
        <f t="shared" si="21"/>
        <v>0.15999999999999992</v>
      </c>
    </row>
    <row r="38" spans="3:12" outlineLevel="1" x14ac:dyDescent="0.3">
      <c r="C38" s="26" t="str">
        <f t="shared" si="22"/>
        <v>Third-party seller services</v>
      </c>
      <c r="D38" s="659">
        <v>0.25773774710492448</v>
      </c>
      <c r="E38" s="139">
        <f t="shared" ref="E38:G38" si="24">E24/D24-1</f>
        <v>0.49661470927420859</v>
      </c>
      <c r="F38" s="155">
        <f t="shared" si="24"/>
        <v>0.28467207715539211</v>
      </c>
      <c r="G38" s="139">
        <f t="shared" si="24"/>
        <v>0.18253083082529131</v>
      </c>
      <c r="H38" s="139">
        <f t="shared" si="21"/>
        <v>0.17701892980116241</v>
      </c>
      <c r="I38" s="139">
        <f t="shared" si="21"/>
        <v>0.15433985750703028</v>
      </c>
      <c r="J38" s="139">
        <f t="shared" si="21"/>
        <v>0.15999999999999992</v>
      </c>
      <c r="K38" s="139">
        <f t="shared" si="21"/>
        <v>0.15999999999999992</v>
      </c>
      <c r="L38" s="139">
        <f t="shared" si="21"/>
        <v>0.15999999999999992</v>
      </c>
    </row>
    <row r="39" spans="3:12" outlineLevel="1" x14ac:dyDescent="0.3">
      <c r="C39" s="156" t="str">
        <f t="shared" si="22"/>
        <v>subcription services</v>
      </c>
      <c r="D39" s="660">
        <v>0.35587238848108416</v>
      </c>
      <c r="E39" s="157">
        <f t="shared" ref="E39:G39" si="25">E25/D25-1</f>
        <v>0.31218115564810001</v>
      </c>
      <c r="F39" s="158">
        <f t="shared" si="25"/>
        <v>0.26028484151227826</v>
      </c>
      <c r="G39" s="157">
        <f t="shared" si="25"/>
        <v>0.18253083082529131</v>
      </c>
      <c r="H39" s="157">
        <f t="shared" si="21"/>
        <v>0.17701892980116241</v>
      </c>
      <c r="I39" s="157">
        <f t="shared" si="21"/>
        <v>0.1543398575070305</v>
      </c>
      <c r="J39" s="157">
        <f t="shared" si="21"/>
        <v>0.15999999999999992</v>
      </c>
      <c r="K39" s="157">
        <f t="shared" si="21"/>
        <v>0.15999999999999992</v>
      </c>
      <c r="L39" s="157">
        <f t="shared" si="21"/>
        <v>0.15999999999999992</v>
      </c>
    </row>
    <row r="40" spans="3:12" outlineLevel="1" x14ac:dyDescent="0.3">
      <c r="C40" s="156" t="str">
        <f t="shared" si="22"/>
        <v>Amazon Web Services (AWS)</v>
      </c>
      <c r="D40" s="660">
        <v>0.36526992788930035</v>
      </c>
      <c r="E40" s="157">
        <f t="shared" ref="E40:G40" si="26">E26/D26-1</f>
        <v>0.29532347399074976</v>
      </c>
      <c r="F40" s="158">
        <f t="shared" si="26"/>
        <v>0.37099404893101173</v>
      </c>
      <c r="G40" s="157">
        <f t="shared" si="26"/>
        <v>0.18253083082529131</v>
      </c>
      <c r="H40" s="157">
        <f t="shared" si="21"/>
        <v>0.17701892980116241</v>
      </c>
      <c r="I40" s="157">
        <f t="shared" si="21"/>
        <v>0.1543398575070305</v>
      </c>
      <c r="J40" s="157">
        <f t="shared" si="21"/>
        <v>0.15999999999999992</v>
      </c>
      <c r="K40" s="157">
        <f t="shared" si="21"/>
        <v>0.1599999999999997</v>
      </c>
      <c r="L40" s="157">
        <f t="shared" si="21"/>
        <v>0.15999999999999992</v>
      </c>
    </row>
    <row r="41" spans="3:12" outlineLevel="1" x14ac:dyDescent="0.3">
      <c r="C41" s="26" t="str">
        <f t="shared" si="22"/>
        <v>Other</v>
      </c>
      <c r="D41" s="659">
        <v>0.39345073209339132</v>
      </c>
      <c r="E41" s="139">
        <f t="shared" ref="E41:G41" si="27">E27/D27-1</f>
        <v>2.3404330848420307</v>
      </c>
      <c r="F41" s="155">
        <f t="shared" si="27"/>
        <v>-0.29147715196599366</v>
      </c>
      <c r="G41" s="139">
        <f t="shared" si="27"/>
        <v>0.18253083082529109</v>
      </c>
      <c r="H41" s="139">
        <f t="shared" si="21"/>
        <v>0.17701892980116241</v>
      </c>
      <c r="I41" s="139">
        <f t="shared" si="21"/>
        <v>0.1543398575070305</v>
      </c>
      <c r="J41" s="139">
        <f t="shared" si="21"/>
        <v>0.15999999999999992</v>
      </c>
      <c r="K41" s="139">
        <f t="shared" si="21"/>
        <v>0.15999999999999992</v>
      </c>
      <c r="L41" s="139">
        <f t="shared" si="21"/>
        <v>0.15999999999999992</v>
      </c>
    </row>
    <row r="42" spans="3:12" ht="15" customHeight="1" x14ac:dyDescent="0.3">
      <c r="F42" s="130"/>
    </row>
    <row r="43" spans="3:12" x14ac:dyDescent="0.3">
      <c r="C43" s="152" t="s">
        <v>255</v>
      </c>
      <c r="F43" s="130"/>
    </row>
    <row r="44" spans="3:12" ht="20.100000000000001" customHeight="1" x14ac:dyDescent="0.3">
      <c r="C44" s="153" t="s">
        <v>256</v>
      </c>
      <c r="F44" s="130"/>
    </row>
    <row r="45" spans="3:12" x14ac:dyDescent="0.3">
      <c r="C45" s="4" t="str">
        <f>C11</f>
        <v>Product sales</v>
      </c>
      <c r="D45" s="118">
        <f>D11/D13</f>
        <v>0.57181967902695685</v>
      </c>
      <c r="E45" s="118">
        <f>E11/E13</f>
        <v>0.55927255584566293</v>
      </c>
      <c r="F45" s="135">
        <f>F11/F13</f>
        <v>0.51463532997603345</v>
      </c>
      <c r="G45" s="120">
        <f>F45</f>
        <v>0.51463532997603345</v>
      </c>
      <c r="H45" s="120">
        <f t="shared" ref="H45:L45" si="28">G45</f>
        <v>0.51463532997603345</v>
      </c>
      <c r="I45" s="120">
        <f t="shared" si="28"/>
        <v>0.51463532997603345</v>
      </c>
      <c r="J45" s="120">
        <f t="shared" si="28"/>
        <v>0.51463532997603345</v>
      </c>
      <c r="K45" s="120">
        <f t="shared" si="28"/>
        <v>0.51463532997603345</v>
      </c>
      <c r="L45" s="120">
        <f t="shared" si="28"/>
        <v>0.51463532997603345</v>
      </c>
    </row>
    <row r="46" spans="3:12" x14ac:dyDescent="0.3">
      <c r="C46" s="4" t="str">
        <f>C12</f>
        <v>Services Sales</v>
      </c>
      <c r="D46" s="118">
        <f>D12/D13</f>
        <v>0.42818032097304309</v>
      </c>
      <c r="E46" s="118">
        <f>E12/E13</f>
        <v>0.44072744415433712</v>
      </c>
      <c r="F46" s="135">
        <f>F12/F13</f>
        <v>0.48536467002396655</v>
      </c>
      <c r="G46" s="120">
        <f>F46</f>
        <v>0.48536467002396655</v>
      </c>
      <c r="H46" s="120">
        <f t="shared" ref="H46:L46" si="29">G46</f>
        <v>0.48536467002396655</v>
      </c>
      <c r="I46" s="120">
        <f t="shared" si="29"/>
        <v>0.48536467002396655</v>
      </c>
      <c r="J46" s="120">
        <f t="shared" si="29"/>
        <v>0.48536467002396655</v>
      </c>
      <c r="K46" s="120">
        <f t="shared" si="29"/>
        <v>0.48536467002396655</v>
      </c>
      <c r="L46" s="120">
        <f t="shared" si="29"/>
        <v>0.48536467002396655</v>
      </c>
    </row>
    <row r="47" spans="3:12" ht="20.100000000000001" customHeight="1" x14ac:dyDescent="0.3">
      <c r="C47" s="153" t="s">
        <v>257</v>
      </c>
      <c r="D47" s="118"/>
      <c r="E47" s="118"/>
      <c r="F47" s="135"/>
    </row>
    <row r="48" spans="3:12" x14ac:dyDescent="0.3">
      <c r="C48" s="4" t="str">
        <f>C16</f>
        <v>North America</v>
      </c>
      <c r="D48" s="118">
        <f>D16/D$19</f>
        <v>0.60876865272598946</v>
      </c>
      <c r="E48" s="118">
        <f>E16/E$19</f>
        <v>0.61202805752414102</v>
      </c>
      <c r="F48" s="135">
        <f>F16/F$19</f>
        <v>0.59561493501794294</v>
      </c>
      <c r="G48" s="120">
        <f>F48</f>
        <v>0.59561493501794294</v>
      </c>
      <c r="H48" s="120">
        <f t="shared" ref="H48:L48" si="30">G48</f>
        <v>0.59561493501794294</v>
      </c>
      <c r="I48" s="120">
        <f t="shared" si="30"/>
        <v>0.59561493501794294</v>
      </c>
      <c r="J48" s="120">
        <f t="shared" si="30"/>
        <v>0.59561493501794294</v>
      </c>
      <c r="K48" s="120">
        <f t="shared" si="30"/>
        <v>0.59561493501794294</v>
      </c>
      <c r="L48" s="120">
        <f t="shared" si="30"/>
        <v>0.59561493501794294</v>
      </c>
    </row>
    <row r="49" spans="3:12" x14ac:dyDescent="0.3">
      <c r="C49" s="4" t="str">
        <f>C17</f>
        <v>International</v>
      </c>
      <c r="D49" s="118">
        <f t="shared" ref="D49:F50" si="31">D17/D$19</f>
        <v>0.26637126499882363</v>
      </c>
      <c r="E49" s="118">
        <f t="shared" si="31"/>
        <v>0.27045256744995649</v>
      </c>
      <c r="F49" s="135">
        <f t="shared" si="31"/>
        <v>0.27199024311334929</v>
      </c>
      <c r="G49" s="120">
        <f t="shared" ref="G49:L56" si="32">F49</f>
        <v>0.27199024311334929</v>
      </c>
      <c r="H49" s="120">
        <f t="shared" si="32"/>
        <v>0.27199024311334929</v>
      </c>
      <c r="I49" s="120">
        <f t="shared" si="32"/>
        <v>0.27199024311334929</v>
      </c>
      <c r="J49" s="120">
        <f t="shared" si="32"/>
        <v>0.27199024311334929</v>
      </c>
      <c r="K49" s="120">
        <f t="shared" si="32"/>
        <v>0.27199024311334929</v>
      </c>
      <c r="L49" s="120">
        <f t="shared" si="32"/>
        <v>0.27199024311334929</v>
      </c>
    </row>
    <row r="50" spans="3:12" x14ac:dyDescent="0.3">
      <c r="C50" s="4" t="str">
        <f>C18</f>
        <v>Amazon Web Services (AWS)</v>
      </c>
      <c r="D50" s="118">
        <f t="shared" si="31"/>
        <v>0.12486008227518697</v>
      </c>
      <c r="E50" s="118">
        <f t="shared" si="31"/>
        <v>0.11751937502590244</v>
      </c>
      <c r="F50" s="135">
        <f t="shared" si="31"/>
        <v>0.13239482186870771</v>
      </c>
      <c r="G50" s="120">
        <f t="shared" si="32"/>
        <v>0.13239482186870771</v>
      </c>
      <c r="H50" s="120">
        <f t="shared" si="32"/>
        <v>0.13239482186870771</v>
      </c>
      <c r="I50" s="120">
        <f t="shared" si="32"/>
        <v>0.13239482186870771</v>
      </c>
      <c r="J50" s="120">
        <f t="shared" si="32"/>
        <v>0.13239482186870771</v>
      </c>
      <c r="K50" s="120">
        <f t="shared" si="32"/>
        <v>0.13239482186870771</v>
      </c>
      <c r="L50" s="120">
        <f t="shared" si="32"/>
        <v>0.13239482186870771</v>
      </c>
    </row>
    <row r="51" spans="3:12" ht="20.100000000000001" customHeight="1" x14ac:dyDescent="0.3">
      <c r="C51" s="153" t="s">
        <v>258</v>
      </c>
      <c r="D51" s="118"/>
      <c r="E51" s="118"/>
      <c r="F51" s="135"/>
    </row>
    <row r="52" spans="3:12" x14ac:dyDescent="0.3">
      <c r="C52" s="4" t="str">
        <f t="shared" ref="C52:C56" si="33">C22</f>
        <v>Online stores</v>
      </c>
      <c r="D52" s="118">
        <f>D22/D$28</f>
        <v>0.50351487583861521</v>
      </c>
      <c r="E52" s="118">
        <f>E22/E$28</f>
        <v>0.4793895948365281</v>
      </c>
      <c r="F52" s="135">
        <f>F22/F$28</f>
        <v>0.47267901460553147</v>
      </c>
      <c r="G52" s="120">
        <f t="shared" si="32"/>
        <v>0.47267901460553147</v>
      </c>
      <c r="H52" s="120">
        <f t="shared" si="32"/>
        <v>0.47267901460553147</v>
      </c>
      <c r="I52" s="120">
        <f t="shared" si="32"/>
        <v>0.47267901460553147</v>
      </c>
      <c r="J52" s="120">
        <f t="shared" si="32"/>
        <v>0.47267901460553147</v>
      </c>
      <c r="K52" s="120">
        <f t="shared" si="32"/>
        <v>0.47267901460553147</v>
      </c>
      <c r="L52" s="120">
        <f t="shared" si="32"/>
        <v>0.47267901460553147</v>
      </c>
    </row>
    <row r="53" spans="3:12" x14ac:dyDescent="0.3">
      <c r="C53" s="4" t="str">
        <f t="shared" si="33"/>
        <v>Physical Stores</v>
      </c>
      <c r="D53" s="118">
        <f t="shared" ref="D53:F56" si="34">D23/D$28</f>
        <v>6.1285745859504782E-2</v>
      </c>
      <c r="E53" s="118">
        <f t="shared" si="34"/>
        <v>3.9418356366039048E-2</v>
      </c>
      <c r="F53" s="135">
        <f t="shared" si="34"/>
        <v>3.6343551387546774E-2</v>
      </c>
      <c r="G53" s="120">
        <f t="shared" si="32"/>
        <v>3.6343551387546774E-2</v>
      </c>
      <c r="H53" s="120">
        <f t="shared" si="32"/>
        <v>3.6343551387546774E-2</v>
      </c>
      <c r="I53" s="120">
        <f t="shared" si="32"/>
        <v>3.6343551387546774E-2</v>
      </c>
      <c r="J53" s="120">
        <f t="shared" si="32"/>
        <v>3.6343551387546774E-2</v>
      </c>
      <c r="K53" s="120">
        <f t="shared" si="32"/>
        <v>3.6343551387546774E-2</v>
      </c>
      <c r="L53" s="120">
        <f t="shared" si="32"/>
        <v>3.6343551387546774E-2</v>
      </c>
    </row>
    <row r="54" spans="3:12" x14ac:dyDescent="0.3">
      <c r="C54" s="4" t="str">
        <f t="shared" si="33"/>
        <v>Third-party seller services</v>
      </c>
      <c r="D54" s="118">
        <f t="shared" si="34"/>
        <v>0.19164985277447044</v>
      </c>
      <c r="E54" s="118">
        <f t="shared" si="34"/>
        <v>0.19545451232931951</v>
      </c>
      <c r="F54" s="135">
        <f t="shared" si="34"/>
        <v>0.22001098288287904</v>
      </c>
      <c r="G54" s="120">
        <f t="shared" si="32"/>
        <v>0.22001098288287904</v>
      </c>
      <c r="H54" s="120">
        <f t="shared" si="32"/>
        <v>0.22001098288287904</v>
      </c>
      <c r="I54" s="120">
        <f t="shared" si="32"/>
        <v>0.22001098288287904</v>
      </c>
      <c r="J54" s="120">
        <f t="shared" si="32"/>
        <v>0.22001098288287904</v>
      </c>
      <c r="K54" s="120">
        <f t="shared" si="32"/>
        <v>0.22001098288287904</v>
      </c>
      <c r="L54" s="120">
        <f t="shared" si="32"/>
        <v>0.22001098288287904</v>
      </c>
    </row>
    <row r="55" spans="3:12" x14ac:dyDescent="0.3">
      <c r="C55" s="4" t="str">
        <f t="shared" si="33"/>
        <v>subcription services</v>
      </c>
      <c r="D55" s="118">
        <f t="shared" si="34"/>
        <v>6.8479477545433154E-2</v>
      </c>
      <c r="E55" s="118">
        <f t="shared" si="34"/>
        <v>6.1232421822810516E-2</v>
      </c>
      <c r="F55" s="135">
        <f t="shared" si="34"/>
        <v>6.7617097539067986E-2</v>
      </c>
      <c r="G55" s="120">
        <f t="shared" si="32"/>
        <v>6.7617097539067986E-2</v>
      </c>
      <c r="H55" s="120">
        <f t="shared" si="32"/>
        <v>6.7617097539067986E-2</v>
      </c>
      <c r="I55" s="120">
        <f t="shared" si="32"/>
        <v>6.7617097539067986E-2</v>
      </c>
      <c r="J55" s="120">
        <f t="shared" si="32"/>
        <v>6.7617097539067986E-2</v>
      </c>
      <c r="K55" s="120">
        <f t="shared" si="32"/>
        <v>6.7617097539067986E-2</v>
      </c>
      <c r="L55" s="120">
        <f t="shared" si="32"/>
        <v>6.7617097539067986E-2</v>
      </c>
    </row>
    <row r="56" spans="3:12" x14ac:dyDescent="0.3">
      <c r="C56" s="4" t="str">
        <f t="shared" si="33"/>
        <v>Amazon Web Services (AWS)</v>
      </c>
      <c r="D56" s="118">
        <f t="shared" si="34"/>
        <v>0.12486008227518697</v>
      </c>
      <c r="E56" s="118">
        <f t="shared" si="34"/>
        <v>0.11021204340464606</v>
      </c>
      <c r="F56" s="135">
        <f t="shared" si="34"/>
        <v>0.13239482186870771</v>
      </c>
      <c r="G56" s="120">
        <f t="shared" si="32"/>
        <v>0.13239482186870771</v>
      </c>
      <c r="H56" s="120">
        <f t="shared" si="32"/>
        <v>0.13239482186870771</v>
      </c>
      <c r="I56" s="120">
        <f t="shared" si="32"/>
        <v>0.13239482186870771</v>
      </c>
      <c r="J56" s="120">
        <f t="shared" si="32"/>
        <v>0.13239482186870771</v>
      </c>
      <c r="K56" s="120">
        <f t="shared" si="32"/>
        <v>0.13239482186870771</v>
      </c>
      <c r="L56" s="120">
        <f t="shared" si="32"/>
        <v>0.13239482186870771</v>
      </c>
    </row>
    <row r="57" spans="3:12" ht="15" thickBot="1" x14ac:dyDescent="0.35">
      <c r="C57" s="138" t="s">
        <v>232</v>
      </c>
      <c r="D57" s="164">
        <f>D27/D28</f>
        <v>5.0209965706789483E-2</v>
      </c>
      <c r="E57" s="164">
        <f t="shared" ref="E57:F57" si="35">E27/E28</f>
        <v>0.11429307124065675</v>
      </c>
      <c r="F57" s="165">
        <f t="shared" si="35"/>
        <v>7.0954531716267005E-2</v>
      </c>
      <c r="G57" s="166">
        <f>F57</f>
        <v>7.0954531716267005E-2</v>
      </c>
      <c r="H57" s="166">
        <f t="shared" ref="H57:L57" si="36">G57</f>
        <v>7.0954531716267005E-2</v>
      </c>
      <c r="I57" s="166">
        <f t="shared" si="36"/>
        <v>7.0954531716267005E-2</v>
      </c>
      <c r="J57" s="166">
        <f t="shared" si="36"/>
        <v>7.0954531716267005E-2</v>
      </c>
      <c r="K57" s="166">
        <f t="shared" si="36"/>
        <v>7.0954531716267005E-2</v>
      </c>
      <c r="L57" s="166">
        <f t="shared" si="36"/>
        <v>7.0954531716267005E-2</v>
      </c>
    </row>
    <row r="58" spans="3:12" x14ac:dyDescent="0.3">
      <c r="C58" s="114" t="s">
        <v>254</v>
      </c>
      <c r="F58" s="130"/>
    </row>
    <row r="59" spans="3:12" x14ac:dyDescent="0.3">
      <c r="C59" t="s">
        <v>253</v>
      </c>
      <c r="F59" s="134">
        <v>601750</v>
      </c>
      <c r="G59" s="211">
        <f>F59*(1+G60)</f>
        <v>698030</v>
      </c>
      <c r="H59" s="211">
        <f t="shared" ref="H59:L59" si="37">G59*(1+H60)</f>
        <v>802734.49999999988</v>
      </c>
      <c r="I59" s="211">
        <f t="shared" si="37"/>
        <v>915117.33</v>
      </c>
      <c r="J59" s="211">
        <f t="shared" si="37"/>
        <v>1024931.4096</v>
      </c>
      <c r="K59" s="211">
        <f t="shared" si="37"/>
        <v>1127424.5505600001</v>
      </c>
      <c r="L59" s="211">
        <f t="shared" si="37"/>
        <v>1240167.0056160002</v>
      </c>
    </row>
    <row r="60" spans="3:12" x14ac:dyDescent="0.3">
      <c r="C60" s="121" t="s">
        <v>259</v>
      </c>
      <c r="F60" s="130"/>
      <c r="G60" s="239">
        <v>0.16</v>
      </c>
      <c r="H60" s="239">
        <v>0.15</v>
      </c>
      <c r="I60" s="239">
        <v>0.14000000000000001</v>
      </c>
      <c r="J60" s="239">
        <v>0.12</v>
      </c>
      <c r="K60" s="239">
        <v>0.1</v>
      </c>
      <c r="L60" s="239">
        <v>0.1</v>
      </c>
    </row>
    <row r="61" spans="3:12" x14ac:dyDescent="0.3">
      <c r="C61" s="114" t="s">
        <v>254</v>
      </c>
      <c r="F61" s="212">
        <f>F13/F59</f>
        <v>0.78075945159950144</v>
      </c>
      <c r="G61" s="115">
        <f>G13/G59</f>
        <v>0.79592424394367001</v>
      </c>
      <c r="H61" s="115">
        <f t="shared" ref="H61:L61" si="38">H13/H59</f>
        <v>0.8146242624429374</v>
      </c>
      <c r="I61" s="115">
        <f t="shared" si="38"/>
        <v>0.82487127634223678</v>
      </c>
      <c r="J61" s="115">
        <f t="shared" si="38"/>
        <v>0.85433096478303083</v>
      </c>
      <c r="K61" s="115">
        <f t="shared" si="38"/>
        <v>0.90093083558937781</v>
      </c>
      <c r="L61" s="115">
        <f t="shared" si="38"/>
        <v>0.9500725175306165</v>
      </c>
    </row>
    <row r="62" spans="3:12" ht="2.1" customHeight="1" x14ac:dyDescent="0.3">
      <c r="C62" s="122"/>
      <c r="F62" s="130"/>
    </row>
    <row r="63" spans="3:12" ht="2.1" customHeight="1" thickBot="1" x14ac:dyDescent="0.35">
      <c r="C63" s="136"/>
      <c r="D63" s="3"/>
      <c r="E63" s="3"/>
      <c r="F63" s="137"/>
      <c r="G63" s="3"/>
      <c r="H63" s="3"/>
      <c r="I63" s="3"/>
      <c r="J63" s="3"/>
      <c r="K63" s="3"/>
      <c r="L63" s="3"/>
    </row>
  </sheetData>
  <sheetProtection algorithmName="SHA-512" hashValue="BqQ/kjxU2uK0lBBg120/KnsNShZRllYa8IQgg+KKcTSdabCqyCDMCLuBGoYE3tnCcw3wm1bmylq5Q592xyC7Ig==" saltValue="etQFYPLq112SOznT6LJV0Q==" spinCount="100000" sheet="1" objects="1" scenarios="1"/>
  <pageMargins left="0.7" right="0.7" top="0.75" bottom="0.75" header="0.3" footer="0.3"/>
  <pageSetup scale="57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C5:N49"/>
  <sheetViews>
    <sheetView showGridLines="0" topLeftCell="A28" zoomScale="130" zoomScaleNormal="130" zoomScaleSheetLayoutView="100" workbookViewId="0">
      <selection activeCell="A47" sqref="A47"/>
    </sheetView>
  </sheetViews>
  <sheetFormatPr defaultColWidth="9.109375" defaultRowHeight="13.2" x14ac:dyDescent="0.25"/>
  <cols>
    <col min="1" max="1" width="9.109375" style="11"/>
    <col min="2" max="2" width="1.88671875" style="11" customWidth="1"/>
    <col min="3" max="3" width="39.88671875" style="11" bestFit="1" customWidth="1"/>
    <col min="4" max="6" width="11.88671875" style="11" bestFit="1" customWidth="1"/>
    <col min="7" max="10" width="10.88671875" style="11" bestFit="1" customWidth="1"/>
    <col min="11" max="12" width="12.33203125" style="11" bestFit="1" customWidth="1"/>
    <col min="13" max="13" width="10.88671875" style="11" bestFit="1" customWidth="1"/>
    <col min="14" max="16384" width="9.109375" style="11"/>
  </cols>
  <sheetData>
    <row r="5" spans="3:14" x14ac:dyDescent="0.25">
      <c r="C5" s="12" t="s">
        <v>214</v>
      </c>
    </row>
    <row r="6" spans="3:14" x14ac:dyDescent="0.25">
      <c r="C6" s="108" t="s">
        <v>74</v>
      </c>
    </row>
    <row r="7" spans="3:14" x14ac:dyDescent="0.25">
      <c r="C7" s="13"/>
      <c r="D7" s="14" t="s">
        <v>73</v>
      </c>
      <c r="E7" s="14"/>
      <c r="F7" s="14"/>
      <c r="G7" s="14" t="s">
        <v>30</v>
      </c>
      <c r="H7" s="15"/>
      <c r="I7" s="15"/>
      <c r="J7" s="15"/>
      <c r="K7" s="15"/>
      <c r="L7" s="15"/>
    </row>
    <row r="8" spans="3:14" x14ac:dyDescent="0.25">
      <c r="C8" s="16"/>
      <c r="D8" s="17">
        <v>2019</v>
      </c>
      <c r="E8" s="17">
        <v>2020</v>
      </c>
      <c r="F8" s="17">
        <v>2021</v>
      </c>
      <c r="G8" s="18">
        <f>F8+1</f>
        <v>2022</v>
      </c>
      <c r="H8" s="18">
        <f t="shared" ref="H8:L8" si="0">G8+1</f>
        <v>2023</v>
      </c>
      <c r="I8" s="18">
        <f t="shared" si="0"/>
        <v>2024</v>
      </c>
      <c r="J8" s="18">
        <f t="shared" si="0"/>
        <v>2025</v>
      </c>
      <c r="K8" s="18">
        <f t="shared" si="0"/>
        <v>2026</v>
      </c>
      <c r="L8" s="18">
        <f t="shared" si="0"/>
        <v>2027</v>
      </c>
    </row>
    <row r="9" spans="3:14" ht="2.1" customHeight="1" x14ac:dyDescent="0.25">
      <c r="D9" s="11">
        <v>2019</v>
      </c>
      <c r="F9" s="48"/>
    </row>
    <row r="10" spans="3:14" x14ac:dyDescent="0.25">
      <c r="C10" s="59" t="s">
        <v>206</v>
      </c>
      <c r="D10" s="104">
        <f>'Financial model'!D11</f>
        <v>280522</v>
      </c>
      <c r="E10" s="104">
        <f>'Financial model'!E11</f>
        <v>386064</v>
      </c>
      <c r="F10" s="175">
        <f>'Financial model'!F11</f>
        <v>469822</v>
      </c>
      <c r="G10" s="104">
        <f>'Financial model'!G11</f>
        <v>555579</v>
      </c>
      <c r="H10" s="104">
        <f>'Financial model'!H11</f>
        <v>653927</v>
      </c>
      <c r="I10" s="104">
        <f>'Financial model'!I11</f>
        <v>754853.99999999988</v>
      </c>
      <c r="J10" s="104">
        <f>'Financial model'!J11</f>
        <v>875630.63999999978</v>
      </c>
      <c r="K10" s="104">
        <f>'Financial model'!K11</f>
        <v>1015731.5423999997</v>
      </c>
      <c r="L10" s="104">
        <f>'Financial model'!L11</f>
        <v>1178248.5891839995</v>
      </c>
    </row>
    <row r="11" spans="3:14" x14ac:dyDescent="0.25">
      <c r="C11" s="59" t="s">
        <v>207</v>
      </c>
      <c r="F11" s="176">
        <f>'Financial model'!F83</f>
        <v>160281</v>
      </c>
    </row>
    <row r="12" spans="3:14" x14ac:dyDescent="0.25">
      <c r="C12" s="59" t="s">
        <v>208</v>
      </c>
      <c r="D12" s="90">
        <f>-'Financial model'!D144</f>
        <v>16861</v>
      </c>
      <c r="E12" s="90">
        <f>-'Financial model'!E144</f>
        <v>40140</v>
      </c>
      <c r="F12" s="260">
        <f>-'Financial model'!F144</f>
        <v>61053</v>
      </c>
      <c r="G12" s="103">
        <f>G10*G13</f>
        <v>46942</v>
      </c>
      <c r="H12" s="103">
        <f t="shared" ref="H12:L12" si="1">H10*H13</f>
        <v>49542</v>
      </c>
      <c r="I12" s="103">
        <f t="shared" si="1"/>
        <v>53431.999999999993</v>
      </c>
      <c r="J12" s="103">
        <f t="shared" si="1"/>
        <v>56541.999999999993</v>
      </c>
      <c r="K12" s="103">
        <f t="shared" si="1"/>
        <v>60000</v>
      </c>
      <c r="L12" s="103">
        <f t="shared" si="1"/>
        <v>69599.999999999985</v>
      </c>
    </row>
    <row r="13" spans="3:14" x14ac:dyDescent="0.25">
      <c r="C13" s="11" t="s">
        <v>209</v>
      </c>
      <c r="D13" s="57">
        <f>D12/D10</f>
        <v>6.0105802753438235E-2</v>
      </c>
      <c r="E13" s="57">
        <f t="shared" ref="E13:F13" si="2">E12/E10</f>
        <v>0.10397239835882134</v>
      </c>
      <c r="F13" s="58">
        <f t="shared" si="2"/>
        <v>0.12994921480901278</v>
      </c>
      <c r="G13" s="171">
        <f>Scenarios!G19</f>
        <v>8.4492034436146793E-2</v>
      </c>
      <c r="H13" s="171">
        <f>Scenarios!H19</f>
        <v>7.5760750053140494E-2</v>
      </c>
      <c r="I13" s="171">
        <f>Scenarios!I19</f>
        <v>7.0784549065117233E-2</v>
      </c>
      <c r="J13" s="171">
        <f>Scenarios!J19</f>
        <v>6.4572888860992814E-2</v>
      </c>
      <c r="K13" s="171">
        <f>Scenarios!K19</f>
        <v>5.9070726363612054E-2</v>
      </c>
      <c r="L13" s="171">
        <f>Scenarios!L19</f>
        <v>5.9070726363612054E-2</v>
      </c>
    </row>
    <row r="14" spans="3:14" x14ac:dyDescent="0.25">
      <c r="C14" s="59" t="s">
        <v>210</v>
      </c>
      <c r="F14" s="186">
        <v>4.5</v>
      </c>
      <c r="M14" s="188" t="s">
        <v>266</v>
      </c>
      <c r="N14" s="11" t="s">
        <v>572</v>
      </c>
    </row>
    <row r="15" spans="3:14" x14ac:dyDescent="0.25">
      <c r="C15" s="11" t="s">
        <v>211</v>
      </c>
      <c r="F15" s="48"/>
      <c r="G15" s="179">
        <v>3</v>
      </c>
      <c r="H15" s="179">
        <v>3.8</v>
      </c>
      <c r="I15" s="179">
        <v>4.5</v>
      </c>
      <c r="J15" s="190">
        <f>I15+$M$15</f>
        <v>5</v>
      </c>
      <c r="K15" s="190">
        <f t="shared" ref="K15:L15" si="3">J15+$M$15</f>
        <v>5.5</v>
      </c>
      <c r="L15" s="190">
        <f t="shared" si="3"/>
        <v>6</v>
      </c>
      <c r="M15" s="189">
        <v>0.5</v>
      </c>
    </row>
    <row r="16" spans="3:14" x14ac:dyDescent="0.25">
      <c r="F16" s="48"/>
    </row>
    <row r="17" spans="3:13" x14ac:dyDescent="0.25">
      <c r="C17" s="11" t="s">
        <v>212</v>
      </c>
      <c r="F17" s="48"/>
      <c r="G17" s="103">
        <f>$F$11/$F$14</f>
        <v>35618</v>
      </c>
      <c r="H17" s="103">
        <f t="shared" ref="H17:L17" si="4">$F$11/$F$14</f>
        <v>35618</v>
      </c>
      <c r="I17" s="103">
        <f t="shared" si="4"/>
        <v>35618</v>
      </c>
      <c r="J17" s="103">
        <f t="shared" si="4"/>
        <v>35618</v>
      </c>
      <c r="K17" s="103">
        <f t="shared" si="4"/>
        <v>35618</v>
      </c>
      <c r="L17" s="103">
        <f t="shared" si="4"/>
        <v>35618</v>
      </c>
    </row>
    <row r="18" spans="3:13" x14ac:dyDescent="0.25">
      <c r="C18" s="177">
        <v>2020</v>
      </c>
      <c r="F18" s="48"/>
      <c r="G18" s="180">
        <f>$G$12/G15</f>
        <v>15647.333333333334</v>
      </c>
      <c r="H18" s="180">
        <f t="shared" ref="H18:L18" si="5">$G$12/H15</f>
        <v>12353.157894736843</v>
      </c>
      <c r="I18" s="180">
        <f t="shared" si="5"/>
        <v>10431.555555555555</v>
      </c>
      <c r="J18" s="180">
        <f t="shared" si="5"/>
        <v>9388.4</v>
      </c>
      <c r="K18" s="180">
        <f t="shared" si="5"/>
        <v>8534.9090909090901</v>
      </c>
      <c r="L18" s="180">
        <f t="shared" si="5"/>
        <v>7823.666666666667</v>
      </c>
    </row>
    <row r="19" spans="3:13" x14ac:dyDescent="0.25">
      <c r="C19" s="177">
        <f>C18+1</f>
        <v>2021</v>
      </c>
      <c r="F19" s="48"/>
      <c r="H19" s="180">
        <f>$H$12/H15</f>
        <v>13037.368421052632</v>
      </c>
      <c r="I19" s="180">
        <f t="shared" ref="I19:L19" si="6">$H$12/I15</f>
        <v>11009.333333333334</v>
      </c>
      <c r="J19" s="180">
        <f t="shared" si="6"/>
        <v>9908.4</v>
      </c>
      <c r="K19" s="180">
        <f t="shared" si="6"/>
        <v>9007.636363636364</v>
      </c>
      <c r="L19" s="180">
        <f t="shared" si="6"/>
        <v>8257</v>
      </c>
    </row>
    <row r="20" spans="3:13" x14ac:dyDescent="0.25">
      <c r="C20" s="177">
        <f>C19+1</f>
        <v>2022</v>
      </c>
      <c r="F20" s="48"/>
      <c r="I20" s="180">
        <f>$I$12/I15</f>
        <v>11873.777777777776</v>
      </c>
      <c r="J20" s="180">
        <f t="shared" ref="J20:L20" si="7">$I$12/J15</f>
        <v>10686.399999999998</v>
      </c>
      <c r="K20" s="180">
        <f t="shared" si="7"/>
        <v>9714.9090909090901</v>
      </c>
      <c r="L20" s="180">
        <f t="shared" si="7"/>
        <v>8905.3333333333321</v>
      </c>
    </row>
    <row r="21" spans="3:13" x14ac:dyDescent="0.25">
      <c r="C21" s="177">
        <f>C20+1</f>
        <v>2023</v>
      </c>
      <c r="F21" s="48"/>
      <c r="J21" s="180">
        <f>$J$12/J15</f>
        <v>11308.399999999998</v>
      </c>
      <c r="K21" s="180">
        <f t="shared" ref="K21:L21" si="8">$J$12/K15</f>
        <v>10280.363636363634</v>
      </c>
      <c r="L21" s="180">
        <f t="shared" si="8"/>
        <v>9423.6666666666661</v>
      </c>
    </row>
    <row r="22" spans="3:13" x14ac:dyDescent="0.25">
      <c r="C22" s="177">
        <f>C21+1</f>
        <v>2024</v>
      </c>
      <c r="F22" s="48"/>
      <c r="K22" s="180">
        <f>$K$12/K15</f>
        <v>10909.09090909091</v>
      </c>
      <c r="L22" s="180">
        <f>$K$12/L15</f>
        <v>10000</v>
      </c>
    </row>
    <row r="23" spans="3:13" x14ac:dyDescent="0.25">
      <c r="C23" s="178">
        <f>C22+1</f>
        <v>2025</v>
      </c>
      <c r="D23" s="25"/>
      <c r="E23" s="25"/>
      <c r="F23" s="97"/>
      <c r="G23" s="25"/>
      <c r="H23" s="25"/>
      <c r="I23" s="25"/>
      <c r="J23" s="25"/>
      <c r="K23" s="25"/>
      <c r="L23" s="181">
        <f>L12/L15</f>
        <v>11599.999999999998</v>
      </c>
    </row>
    <row r="24" spans="3:13" x14ac:dyDescent="0.25">
      <c r="C24" s="11" t="s">
        <v>213</v>
      </c>
      <c r="D24" s="103"/>
      <c r="E24" s="103"/>
      <c r="F24" s="98"/>
      <c r="G24" s="103">
        <f>SUM(G17:G23)</f>
        <v>51265.333333333336</v>
      </c>
      <c r="H24" s="103">
        <f t="shared" ref="H24:L24" si="9">SUM(H17:H23)</f>
        <v>61008.526315789473</v>
      </c>
      <c r="I24" s="103">
        <f t="shared" si="9"/>
        <v>68932.666666666672</v>
      </c>
      <c r="J24" s="103">
        <f t="shared" si="9"/>
        <v>76909.599999999991</v>
      </c>
      <c r="K24" s="103">
        <f t="shared" si="9"/>
        <v>84064.909090909088</v>
      </c>
      <c r="L24" s="103">
        <f t="shared" si="9"/>
        <v>91627.666666666672</v>
      </c>
    </row>
    <row r="25" spans="3:13" x14ac:dyDescent="0.25">
      <c r="C25" s="25" t="s">
        <v>209</v>
      </c>
      <c r="D25" s="183"/>
      <c r="E25" s="183"/>
      <c r="F25" s="184"/>
      <c r="G25" s="185">
        <f>G24/G10</f>
        <v>9.2273706049604706E-2</v>
      </c>
      <c r="H25" s="182">
        <f t="shared" ref="H25:L25" si="10">H24/H10</f>
        <v>9.3295622165454978E-2</v>
      </c>
      <c r="I25" s="182">
        <f t="shared" si="10"/>
        <v>9.1319204331786918E-2</v>
      </c>
      <c r="J25" s="182">
        <f t="shared" si="10"/>
        <v>8.783338143580724E-2</v>
      </c>
      <c r="K25" s="182">
        <f t="shared" si="10"/>
        <v>8.2762920694850237E-2</v>
      </c>
      <c r="L25" s="182">
        <f t="shared" si="10"/>
        <v>7.7765988864984564E-2</v>
      </c>
    </row>
    <row r="26" spans="3:13" ht="14.25" customHeight="1" x14ac:dyDescent="0.25">
      <c r="F26" s="48"/>
    </row>
    <row r="27" spans="3:13" x14ac:dyDescent="0.25">
      <c r="C27" s="12" t="s">
        <v>215</v>
      </c>
      <c r="F27" s="48"/>
    </row>
    <row r="28" spans="3:13" x14ac:dyDescent="0.25">
      <c r="C28" s="11" t="s">
        <v>216</v>
      </c>
      <c r="D28" s="679">
        <v>565</v>
      </c>
      <c r="E28" s="679">
        <v>509</v>
      </c>
      <c r="F28" s="679">
        <v>512</v>
      </c>
      <c r="G28" s="679">
        <v>528</v>
      </c>
      <c r="H28" s="679">
        <v>452</v>
      </c>
      <c r="I28" s="679">
        <v>378</v>
      </c>
      <c r="J28" s="679">
        <v>318</v>
      </c>
      <c r="K28" s="679">
        <v>290</v>
      </c>
      <c r="L28" s="679">
        <v>1994</v>
      </c>
      <c r="M28" s="187"/>
    </row>
    <row r="29" spans="3:13" x14ac:dyDescent="0.25">
      <c r="C29" s="11" t="s">
        <v>209</v>
      </c>
      <c r="D29" s="57">
        <f>D28/D10</f>
        <v>2.014102280748034E-3</v>
      </c>
      <c r="E29" s="57">
        <f t="shared" ref="E29" si="11">E28/E10</f>
        <v>1.3184342492436488E-3</v>
      </c>
      <c r="F29" s="58">
        <f t="shared" ref="F29" si="12">F28/F10</f>
        <v>1.0897744252078446E-3</v>
      </c>
      <c r="G29" s="57">
        <f t="shared" ref="G29" si="13">G28/G10</f>
        <v>9.5035989481243889E-4</v>
      </c>
      <c r="H29" s="57">
        <f t="shared" ref="H29" si="14">H28/H10</f>
        <v>6.9120865173023902E-4</v>
      </c>
      <c r="I29" s="57">
        <f t="shared" ref="I29" si="15">I28/I10</f>
        <v>5.0075908718772116E-4</v>
      </c>
      <c r="J29" s="57">
        <f t="shared" ref="J29" si="16">J28/J10</f>
        <v>3.6316682568348691E-4</v>
      </c>
      <c r="K29" s="57">
        <f t="shared" ref="K29" si="17">K28/K10</f>
        <v>2.8550851075745826E-4</v>
      </c>
      <c r="L29" s="57">
        <f t="shared" ref="L29" si="18">L28/L10</f>
        <v>1.6923423616241732E-3</v>
      </c>
    </row>
    <row r="30" spans="3:13" x14ac:dyDescent="0.25">
      <c r="F30" s="48"/>
    </row>
    <row r="31" spans="3:13" x14ac:dyDescent="0.25">
      <c r="C31" s="12" t="s">
        <v>83</v>
      </c>
      <c r="D31" s="104">
        <f>'Financial model'!D129</f>
        <v>21789</v>
      </c>
      <c r="E31" s="104">
        <f>'Financial model'!E129</f>
        <v>25251</v>
      </c>
      <c r="F31" s="175">
        <f>'Financial model'!F129</f>
        <v>34296</v>
      </c>
      <c r="G31" s="103">
        <f>G24+G28</f>
        <v>51793.333333333336</v>
      </c>
      <c r="H31" s="103">
        <f t="shared" ref="H31:L31" si="19">H24+H28</f>
        <v>61460.526315789473</v>
      </c>
      <c r="I31" s="103">
        <f t="shared" si="19"/>
        <v>69310.666666666672</v>
      </c>
      <c r="J31" s="103">
        <f t="shared" si="19"/>
        <v>77227.599999999991</v>
      </c>
      <c r="K31" s="103">
        <f t="shared" si="19"/>
        <v>84354.909090909088</v>
      </c>
      <c r="L31" s="103">
        <f t="shared" si="19"/>
        <v>93621.666666666672</v>
      </c>
    </row>
    <row r="32" spans="3:13" x14ac:dyDescent="0.25">
      <c r="C32" s="25" t="s">
        <v>209</v>
      </c>
      <c r="D32" s="183">
        <f>D31/D10</f>
        <v>7.7673052380918428E-2</v>
      </c>
      <c r="E32" s="183">
        <f t="shared" ref="E32:F32" si="20">E31/E10</f>
        <v>6.5406253885366153E-2</v>
      </c>
      <c r="F32" s="184">
        <f t="shared" si="20"/>
        <v>7.2997858763531723E-2</v>
      </c>
      <c r="G32" s="183">
        <f>G31/G10</f>
        <v>9.322406594441715E-2</v>
      </c>
      <c r="H32" s="183">
        <f t="shared" ref="H32:L32" si="21">H31/H10</f>
        <v>9.3986830817185216E-2</v>
      </c>
      <c r="I32" s="183">
        <f t="shared" si="21"/>
        <v>9.1819963418974637E-2</v>
      </c>
      <c r="J32" s="183">
        <f t="shared" si="21"/>
        <v>8.8196548261490731E-2</v>
      </c>
      <c r="K32" s="183">
        <f t="shared" si="21"/>
        <v>8.3048429205607704E-2</v>
      </c>
      <c r="L32" s="183">
        <f t="shared" si="21"/>
        <v>7.9458331226608739E-2</v>
      </c>
    </row>
    <row r="37" spans="3:12" x14ac:dyDescent="0.25">
      <c r="C37" s="12" t="s">
        <v>307</v>
      </c>
    </row>
    <row r="38" spans="3:12" x14ac:dyDescent="0.25">
      <c r="C38" s="11" t="s">
        <v>576</v>
      </c>
      <c r="G38" s="680">
        <v>38947.300000000003</v>
      </c>
      <c r="H38" s="680">
        <v>44914.6</v>
      </c>
      <c r="I38" s="256"/>
    </row>
    <row r="39" spans="3:12" x14ac:dyDescent="0.25">
      <c r="C39" s="11" t="s">
        <v>305</v>
      </c>
      <c r="G39" s="680">
        <v>33177.1</v>
      </c>
      <c r="H39" s="680">
        <v>37831.199999999997</v>
      </c>
      <c r="I39" s="680">
        <v>42499.3</v>
      </c>
      <c r="J39" s="680">
        <v>47083.199999999997</v>
      </c>
      <c r="K39" s="256"/>
      <c r="L39" s="256"/>
    </row>
    <row r="40" spans="3:12" x14ac:dyDescent="0.25">
      <c r="C40" s="218" t="s">
        <v>306</v>
      </c>
      <c r="D40" s="218"/>
      <c r="E40" s="218"/>
      <c r="F40" s="218"/>
      <c r="G40" s="257"/>
      <c r="H40" s="257"/>
      <c r="I40" s="257"/>
      <c r="J40" s="218"/>
      <c r="K40" s="218"/>
      <c r="L40" s="218"/>
    </row>
    <row r="41" spans="3:12" x14ac:dyDescent="0.25">
      <c r="C41" s="12" t="s">
        <v>274</v>
      </c>
      <c r="D41" s="12"/>
      <c r="E41" s="12"/>
      <c r="F41" s="12"/>
      <c r="G41" s="258">
        <f>MEDIAN(G38:G39)</f>
        <v>36062.199999999997</v>
      </c>
      <c r="H41" s="258">
        <f t="shared" ref="H41:L41" si="22">MEDIAN(H38:H39)</f>
        <v>41372.899999999994</v>
      </c>
      <c r="I41" s="258">
        <f t="shared" si="22"/>
        <v>42499.3</v>
      </c>
      <c r="J41" s="258">
        <f t="shared" si="22"/>
        <v>47083.199999999997</v>
      </c>
      <c r="K41" s="258" t="e">
        <f t="shared" si="22"/>
        <v>#NUM!</v>
      </c>
      <c r="L41" s="258" t="e">
        <f t="shared" si="22"/>
        <v>#NUM!</v>
      </c>
    </row>
    <row r="47" spans="3:12" x14ac:dyDescent="0.25">
      <c r="C47" s="11" t="s">
        <v>573</v>
      </c>
    </row>
    <row r="48" spans="3:12" x14ac:dyDescent="0.25">
      <c r="C48" s="11" t="s">
        <v>574</v>
      </c>
    </row>
    <row r="49" spans="3:3" x14ac:dyDescent="0.25">
      <c r="C49" s="11" t="s">
        <v>575</v>
      </c>
    </row>
  </sheetData>
  <sheetProtection algorithmName="SHA-512" hashValue="KXGX1H3fNa6j4vpp0ltGe3netIRPvHm6DdDG0E/lyVF2tObiEDDR3Eve3yqduEqhQf6Htl+9aOEaWY+Zqh5XuA==" saltValue="RLQFsoIBSwqNrwj6RUlkSg==" spinCount="100000" sheet="1" objects="1" scenarios="1"/>
  <pageMargins left="0.7" right="0.7" top="0.75" bottom="0.75" header="0.3" footer="0.3"/>
  <pageSetup scale="78" orientation="landscape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8:K54"/>
  <sheetViews>
    <sheetView showGridLines="0" topLeftCell="A10" zoomScale="115" zoomScaleNormal="115" zoomScaleSheetLayoutView="115" workbookViewId="0">
      <selection activeCell="A47" sqref="A47"/>
    </sheetView>
  </sheetViews>
  <sheetFormatPr defaultRowHeight="14.4" outlineLevelRow="1" x14ac:dyDescent="0.3"/>
  <cols>
    <col min="2" max="2" width="50.109375" bestFit="1" customWidth="1"/>
    <col min="3" max="9" width="12.6640625" customWidth="1"/>
  </cols>
  <sheetData>
    <row r="8" spans="2:11" x14ac:dyDescent="0.3">
      <c r="B8" s="108" t="s">
        <v>74</v>
      </c>
      <c r="C8" s="11"/>
      <c r="D8" s="11"/>
      <c r="E8" s="11"/>
      <c r="F8" s="11"/>
      <c r="G8" s="11"/>
      <c r="H8" s="11"/>
      <c r="I8" s="11"/>
      <c r="J8" s="11"/>
      <c r="K8" s="11"/>
    </row>
    <row r="9" spans="2:11" x14ac:dyDescent="0.3">
      <c r="B9" s="13"/>
      <c r="C9" s="14"/>
      <c r="D9" s="14" t="s">
        <v>30</v>
      </c>
      <c r="E9" s="15"/>
      <c r="F9" s="15"/>
      <c r="G9" s="15"/>
      <c r="H9" s="15"/>
      <c r="I9" s="15"/>
    </row>
    <row r="10" spans="2:11" x14ac:dyDescent="0.3">
      <c r="B10" s="16"/>
      <c r="C10" s="17">
        <v>2021</v>
      </c>
      <c r="D10" s="670">
        <f t="shared" ref="D10:I10" si="0">C10+1</f>
        <v>2022</v>
      </c>
      <c r="E10" s="670">
        <f t="shared" si="0"/>
        <v>2023</v>
      </c>
      <c r="F10" s="670">
        <f t="shared" si="0"/>
        <v>2024</v>
      </c>
      <c r="G10" s="670">
        <f t="shared" si="0"/>
        <v>2025</v>
      </c>
      <c r="H10" s="670">
        <f t="shared" si="0"/>
        <v>2026</v>
      </c>
      <c r="I10" s="670">
        <f t="shared" si="0"/>
        <v>2027</v>
      </c>
    </row>
    <row r="12" spans="2:11" x14ac:dyDescent="0.3">
      <c r="B12" t="s">
        <v>89</v>
      </c>
      <c r="D12" s="115">
        <f>D23/C23-1</f>
        <v>0.18253083082529131</v>
      </c>
      <c r="E12" s="115">
        <f>E23/D23-1</f>
        <v>0.17701892980116241</v>
      </c>
      <c r="F12" s="115">
        <f>F23/E23-1</f>
        <v>0.1543398575070305</v>
      </c>
      <c r="G12" s="115">
        <f>G23/F23-1</f>
        <v>0.15999999999999992</v>
      </c>
      <c r="H12" s="115">
        <f>H23/G23-1</f>
        <v>0.15999999999999992</v>
      </c>
      <c r="I12" s="119">
        <f>H12</f>
        <v>0.15999999999999992</v>
      </c>
    </row>
    <row r="14" spans="2:11" x14ac:dyDescent="0.3">
      <c r="B14" s="114" t="s">
        <v>238</v>
      </c>
      <c r="C14" s="114"/>
    </row>
    <row r="15" spans="2:11" x14ac:dyDescent="0.3">
      <c r="B15" s="4" t="s">
        <v>76</v>
      </c>
      <c r="C15" s="4"/>
      <c r="D15" s="118">
        <f>D26</f>
        <v>0.42507366189146817</v>
      </c>
      <c r="E15" s="118">
        <f>E26</f>
        <v>0.4302070414587561</v>
      </c>
      <c r="F15" s="118">
        <f>F26</f>
        <v>0.43525237993042365</v>
      </c>
      <c r="G15" s="118">
        <f>G26</f>
        <v>0.44012089389654063</v>
      </c>
      <c r="H15" s="118">
        <f>H26</f>
        <v>0.44494743791467395</v>
      </c>
      <c r="I15" s="120">
        <f>H15</f>
        <v>0.44494743791467395</v>
      </c>
    </row>
    <row r="16" spans="2:11" x14ac:dyDescent="0.3">
      <c r="B16" s="4" t="s">
        <v>81</v>
      </c>
      <c r="C16" s="4"/>
      <c r="D16" s="118">
        <f>D27/D23</f>
        <v>6.6143608739711188E-2</v>
      </c>
      <c r="E16" s="118">
        <f>E27/E23</f>
        <v>8.633532489100465E-2</v>
      </c>
      <c r="F16" s="118">
        <f>F27/F23</f>
        <v>0.10585755656060643</v>
      </c>
      <c r="G16" s="118">
        <f>G27/G23</f>
        <v>0.11863346855930032</v>
      </c>
      <c r="H16" s="118">
        <f>H27/H23</f>
        <v>0.13295130097162969</v>
      </c>
      <c r="I16" s="120">
        <f>H16</f>
        <v>0.13295130097162969</v>
      </c>
    </row>
    <row r="17" spans="2:9" x14ac:dyDescent="0.3">
      <c r="B17" s="4" t="s">
        <v>85</v>
      </c>
      <c r="C17" s="4"/>
      <c r="D17" s="118">
        <f>D29/D23</f>
        <v>0.14527546937519237</v>
      </c>
      <c r="E17" s="118">
        <f>E29/E23</f>
        <v>0.16251814040405121</v>
      </c>
      <c r="F17" s="118">
        <f>F29/F23</f>
        <v>0.17843980425353778</v>
      </c>
      <c r="G17" s="118">
        <f>G29/G23</f>
        <v>0.18766944930113458</v>
      </c>
      <c r="H17" s="118">
        <f>H29/H23</f>
        <v>0.19737648978222777</v>
      </c>
      <c r="I17" s="120">
        <f>H17</f>
        <v>0.19737648978222777</v>
      </c>
    </row>
    <row r="18" spans="2:9" x14ac:dyDescent="0.3">
      <c r="B18" s="4" t="s">
        <v>84</v>
      </c>
      <c r="C18" s="4"/>
      <c r="D18" s="118">
        <f>D41/D23</f>
        <v>8.4492034436146793E-2</v>
      </c>
      <c r="E18" s="118">
        <f>E41/E23</f>
        <v>7.5760750053140494E-2</v>
      </c>
      <c r="F18" s="118">
        <f>F41/F23</f>
        <v>7.0784549065117233E-2</v>
      </c>
      <c r="G18" s="118">
        <f>G41/G23</f>
        <v>6.4572888860992814E-2</v>
      </c>
      <c r="H18" s="118">
        <f>H41/H23</f>
        <v>5.9070726363612054E-2</v>
      </c>
      <c r="I18" s="120">
        <f>H18</f>
        <v>5.9070726363612054E-2</v>
      </c>
    </row>
    <row r="20" spans="2:9" x14ac:dyDescent="0.3">
      <c r="B20" s="10"/>
      <c r="C20" s="10"/>
      <c r="D20" s="113" t="s">
        <v>237</v>
      </c>
      <c r="E20" s="113"/>
      <c r="F20" s="113"/>
      <c r="G20" s="113"/>
      <c r="H20" s="113"/>
    </row>
    <row r="21" spans="2:9" x14ac:dyDescent="0.3">
      <c r="B21" s="10"/>
      <c r="C21" s="17">
        <v>2021</v>
      </c>
      <c r="D21" s="10" t="s">
        <v>137</v>
      </c>
      <c r="E21" s="10" t="s">
        <v>138</v>
      </c>
      <c r="F21" s="10" t="s">
        <v>139</v>
      </c>
      <c r="G21" s="10" t="s">
        <v>568</v>
      </c>
      <c r="H21" s="10" t="s">
        <v>569</v>
      </c>
    </row>
    <row r="22" spans="2:9" x14ac:dyDescent="0.3">
      <c r="B22" t="s">
        <v>9</v>
      </c>
      <c r="D22" t="s">
        <v>140</v>
      </c>
      <c r="E22" t="s">
        <v>140</v>
      </c>
      <c r="F22" t="s">
        <v>140</v>
      </c>
      <c r="G22" t="s">
        <v>140</v>
      </c>
      <c r="H22" t="s">
        <v>140</v>
      </c>
    </row>
    <row r="23" spans="2:9" x14ac:dyDescent="0.3">
      <c r="B23" t="s">
        <v>141</v>
      </c>
      <c r="C23" s="528">
        <f>'Financial model'!F11</f>
        <v>469822</v>
      </c>
      <c r="D23" s="117">
        <v>555579</v>
      </c>
      <c r="E23" s="117">
        <v>653927</v>
      </c>
      <c r="F23" s="117">
        <v>754854</v>
      </c>
      <c r="G23" s="671">
        <f>F23*1.16</f>
        <v>875630.6399999999</v>
      </c>
      <c r="H23" s="671">
        <f>G23*1.16</f>
        <v>1015731.5423999998</v>
      </c>
    </row>
    <row r="24" spans="2:9" x14ac:dyDescent="0.3">
      <c r="B24" s="4" t="s">
        <v>570</v>
      </c>
      <c r="C24" s="528">
        <f>'Financial model'!F12</f>
        <v>-272344</v>
      </c>
      <c r="D24" s="117">
        <v>319417</v>
      </c>
      <c r="E24" s="117">
        <v>372603</v>
      </c>
      <c r="F24" s="117">
        <v>426302</v>
      </c>
      <c r="G24" s="671">
        <f>F24*1.15</f>
        <v>490247.3</v>
      </c>
      <c r="H24" s="671">
        <f>G24*1.15</f>
        <v>563784.3949999999</v>
      </c>
    </row>
    <row r="25" spans="2:9" x14ac:dyDescent="0.3">
      <c r="B25" s="672" t="s">
        <v>571</v>
      </c>
      <c r="C25" s="674">
        <f>C23+C24</f>
        <v>197478</v>
      </c>
      <c r="D25" s="673">
        <f>D23-D24</f>
        <v>236162</v>
      </c>
      <c r="E25" s="673">
        <f t="shared" ref="E25:H25" si="1">E23-E24</f>
        <v>281324</v>
      </c>
      <c r="F25" s="673">
        <f t="shared" si="1"/>
        <v>328552</v>
      </c>
      <c r="G25" s="673">
        <f t="shared" si="1"/>
        <v>385383.33999999991</v>
      </c>
      <c r="H25" s="673">
        <f t="shared" si="1"/>
        <v>451947.1473999999</v>
      </c>
    </row>
    <row r="26" spans="2:9" x14ac:dyDescent="0.3">
      <c r="B26" t="s">
        <v>143</v>
      </c>
      <c r="C26" s="118">
        <f>C25/C23</f>
        <v>0.42032514441639601</v>
      </c>
      <c r="D26" s="676">
        <f>D25/D23</f>
        <v>0.42507366189146817</v>
      </c>
      <c r="E26" s="676">
        <f t="shared" ref="E26:H26" si="2">E25/E23</f>
        <v>0.4302070414587561</v>
      </c>
      <c r="F26" s="676">
        <f t="shared" si="2"/>
        <v>0.43525237993042365</v>
      </c>
      <c r="G26" s="676">
        <f t="shared" si="2"/>
        <v>0.44012089389654063</v>
      </c>
      <c r="H26" s="676">
        <f t="shared" si="2"/>
        <v>0.44494743791467395</v>
      </c>
    </row>
    <row r="27" spans="2:9" x14ac:dyDescent="0.3">
      <c r="B27" t="s">
        <v>144</v>
      </c>
      <c r="C27" s="675">
        <f>'Financial model'!F45</f>
        <v>24879</v>
      </c>
      <c r="D27" s="117">
        <v>36748</v>
      </c>
      <c r="E27" s="117">
        <v>56457</v>
      </c>
      <c r="F27" s="117">
        <v>79907</v>
      </c>
      <c r="G27" s="671">
        <f>F27*1.3</f>
        <v>103879.1</v>
      </c>
      <c r="H27" s="671">
        <f>G27*1.3</f>
        <v>135042.83000000002</v>
      </c>
    </row>
    <row r="28" spans="2:9" x14ac:dyDescent="0.3">
      <c r="B28" t="s">
        <v>145</v>
      </c>
      <c r="D28" s="117">
        <v>0</v>
      </c>
      <c r="E28" s="117">
        <v>0</v>
      </c>
      <c r="F28" s="117">
        <v>0</v>
      </c>
      <c r="G28" s="117">
        <v>55817</v>
      </c>
      <c r="H28" s="117">
        <v>0</v>
      </c>
    </row>
    <row r="29" spans="2:9" x14ac:dyDescent="0.3">
      <c r="B29" t="s">
        <v>146</v>
      </c>
      <c r="C29" s="675">
        <f>'Financial model'!F46</f>
        <v>59175</v>
      </c>
      <c r="D29" s="117">
        <v>80712</v>
      </c>
      <c r="E29" s="117">
        <v>106275</v>
      </c>
      <c r="F29" s="117">
        <v>134696</v>
      </c>
      <c r="G29" s="671">
        <f>F29*1.22</f>
        <v>164329.12</v>
      </c>
      <c r="H29" s="671">
        <f>G29*1.22</f>
        <v>200481.5264</v>
      </c>
    </row>
    <row r="30" spans="2:9" x14ac:dyDescent="0.3">
      <c r="B30" t="s">
        <v>147</v>
      </c>
      <c r="C30" s="675">
        <f>'Financial model'!F28</f>
        <v>38151</v>
      </c>
      <c r="D30" s="117">
        <v>35469</v>
      </c>
      <c r="E30" s="117">
        <v>55922</v>
      </c>
      <c r="F30" s="117">
        <v>80381</v>
      </c>
      <c r="G30" s="671">
        <f>F30*1.4</f>
        <v>112533.4</v>
      </c>
      <c r="H30" s="671">
        <f>G30*1.4</f>
        <v>157546.75999999998</v>
      </c>
    </row>
    <row r="31" spans="2:9" x14ac:dyDescent="0.3">
      <c r="B31" t="s">
        <v>148</v>
      </c>
      <c r="C31" s="675">
        <f>'Financial model'!F31</f>
        <v>33364</v>
      </c>
      <c r="D31" s="117">
        <v>28020</v>
      </c>
      <c r="E31" s="117">
        <v>44178</v>
      </c>
      <c r="F31" s="117">
        <v>63501</v>
      </c>
      <c r="G31" s="671">
        <f>F31*1.4</f>
        <v>88901.4</v>
      </c>
      <c r="H31" s="671">
        <f>G31*1.3</f>
        <v>115571.81999999999</v>
      </c>
    </row>
    <row r="32" spans="2:9" x14ac:dyDescent="0.3">
      <c r="B32" t="s">
        <v>149</v>
      </c>
      <c r="C32" s="675"/>
      <c r="D32" s="117">
        <v>9327.67</v>
      </c>
      <c r="E32" s="117">
        <v>19184.14</v>
      </c>
      <c r="F32" s="117">
        <v>27633.62</v>
      </c>
      <c r="G32" s="117">
        <v>39036.58</v>
      </c>
      <c r="H32" s="117">
        <v>51237.13</v>
      </c>
    </row>
    <row r="33" spans="2:8" x14ac:dyDescent="0.3">
      <c r="B33" t="s">
        <v>150</v>
      </c>
      <c r="C33" s="675"/>
      <c r="D33" s="117">
        <v>11831.39</v>
      </c>
      <c r="E33" s="117">
        <v>23905.759999999998</v>
      </c>
      <c r="F33" s="117">
        <v>34830.74</v>
      </c>
      <c r="G33" s="117">
        <v>47813.54</v>
      </c>
      <c r="H33" s="117">
        <v>63430.35</v>
      </c>
    </row>
    <row r="34" spans="2:8" x14ac:dyDescent="0.3">
      <c r="B34" t="s">
        <v>151</v>
      </c>
      <c r="C34" s="675"/>
      <c r="D34" s="116" t="s">
        <v>140</v>
      </c>
      <c r="E34" s="116" t="s">
        <v>140</v>
      </c>
      <c r="F34" s="116" t="s">
        <v>140</v>
      </c>
      <c r="G34" s="116" t="s">
        <v>140</v>
      </c>
      <c r="H34" s="116" t="s">
        <v>140</v>
      </c>
    </row>
    <row r="35" spans="2:8" outlineLevel="1" x14ac:dyDescent="0.3">
      <c r="B35" s="244" t="s">
        <v>152</v>
      </c>
      <c r="C35" s="244"/>
      <c r="D35" s="245">
        <v>18.850000000000001</v>
      </c>
      <c r="E35" s="245">
        <v>37.479999999999997</v>
      </c>
      <c r="F35" s="245">
        <v>54.06</v>
      </c>
      <c r="G35" s="245">
        <v>74.08</v>
      </c>
      <c r="H35" s="245">
        <v>96.23</v>
      </c>
    </row>
    <row r="36" spans="2:8" outlineLevel="1" x14ac:dyDescent="0.3">
      <c r="B36" t="s">
        <v>153</v>
      </c>
      <c r="D36" s="116">
        <v>44.75</v>
      </c>
      <c r="E36" s="116"/>
      <c r="F36" s="116"/>
      <c r="G36" s="116"/>
      <c r="H36" s="116"/>
    </row>
    <row r="37" spans="2:8" x14ac:dyDescent="0.3">
      <c r="B37" s="244" t="s">
        <v>154</v>
      </c>
      <c r="C37" s="244"/>
      <c r="D37" s="245">
        <v>18.28</v>
      </c>
      <c r="E37" s="245">
        <v>36.56</v>
      </c>
      <c r="F37" s="245">
        <v>52.49</v>
      </c>
      <c r="G37" s="245">
        <v>74.08</v>
      </c>
      <c r="H37" s="245">
        <v>96.23</v>
      </c>
    </row>
    <row r="38" spans="2:8" x14ac:dyDescent="0.3">
      <c r="B38" t="s">
        <v>155</v>
      </c>
      <c r="D38" s="116">
        <v>76.83</v>
      </c>
      <c r="E38" s="116">
        <v>97.08</v>
      </c>
      <c r="F38" s="116">
        <v>135.68</v>
      </c>
      <c r="G38" s="116">
        <v>185.14</v>
      </c>
      <c r="H38" s="116">
        <v>245.09</v>
      </c>
    </row>
    <row r="39" spans="2:8" x14ac:dyDescent="0.3">
      <c r="D39" s="116"/>
      <c r="E39" s="116"/>
      <c r="F39" s="116"/>
      <c r="G39" s="116"/>
      <c r="H39" s="116"/>
    </row>
    <row r="40" spans="2:8" x14ac:dyDescent="0.3">
      <c r="B40" t="s">
        <v>156</v>
      </c>
      <c r="D40" s="116" t="s">
        <v>140</v>
      </c>
      <c r="E40" s="116" t="s">
        <v>140</v>
      </c>
      <c r="F40" s="116" t="s">
        <v>140</v>
      </c>
      <c r="G40" s="116" t="s">
        <v>140</v>
      </c>
      <c r="H40" s="116" t="s">
        <v>140</v>
      </c>
    </row>
    <row r="41" spans="2:8" x14ac:dyDescent="0.3">
      <c r="B41" t="s">
        <v>157</v>
      </c>
      <c r="D41" s="116">
        <v>46942</v>
      </c>
      <c r="E41" s="116">
        <v>49542</v>
      </c>
      <c r="F41" s="677">
        <v>53432</v>
      </c>
      <c r="G41" s="677">
        <v>56542</v>
      </c>
      <c r="H41" s="677">
        <v>60000</v>
      </c>
    </row>
    <row r="42" spans="2:8" outlineLevel="1" x14ac:dyDescent="0.3">
      <c r="B42" t="s">
        <v>151</v>
      </c>
      <c r="D42" s="116" t="s">
        <v>140</v>
      </c>
      <c r="E42" s="116" t="s">
        <v>140</v>
      </c>
      <c r="F42" s="116" t="s">
        <v>140</v>
      </c>
      <c r="G42" s="116" t="s">
        <v>140</v>
      </c>
      <c r="H42" s="116" t="s">
        <v>140</v>
      </c>
    </row>
    <row r="43" spans="2:8" outlineLevel="1" x14ac:dyDescent="0.3">
      <c r="B43" t="s">
        <v>158</v>
      </c>
      <c r="D43" s="678">
        <v>85.73</v>
      </c>
      <c r="E43" s="678" t="s">
        <v>159</v>
      </c>
      <c r="F43" s="678" t="s">
        <v>160</v>
      </c>
      <c r="G43" s="678" t="s">
        <v>161</v>
      </c>
      <c r="H43" s="678" t="s">
        <v>162</v>
      </c>
    </row>
    <row r="44" spans="2:8" outlineLevel="1" x14ac:dyDescent="0.3">
      <c r="B44" t="s">
        <v>163</v>
      </c>
      <c r="D44" s="678" t="s">
        <v>164</v>
      </c>
      <c r="E44" s="678" t="s">
        <v>165</v>
      </c>
      <c r="F44" s="678" t="s">
        <v>166</v>
      </c>
      <c r="G44" s="678" t="s">
        <v>167</v>
      </c>
      <c r="H44" s="678" t="s">
        <v>168</v>
      </c>
    </row>
    <row r="45" spans="2:8" outlineLevel="1" x14ac:dyDescent="0.3">
      <c r="B45" t="s">
        <v>10</v>
      </c>
      <c r="D45" s="116" t="s">
        <v>140</v>
      </c>
      <c r="E45" s="116" t="s">
        <v>140</v>
      </c>
      <c r="F45" s="116" t="s">
        <v>140</v>
      </c>
      <c r="G45" s="116" t="s">
        <v>140</v>
      </c>
      <c r="H45" s="116" t="s">
        <v>140</v>
      </c>
    </row>
    <row r="46" spans="2:8" outlineLevel="1" x14ac:dyDescent="0.3">
      <c r="B46" t="s">
        <v>169</v>
      </c>
      <c r="D46" s="116" t="s">
        <v>170</v>
      </c>
      <c r="E46" s="116" t="s">
        <v>171</v>
      </c>
      <c r="F46" s="116" t="s">
        <v>172</v>
      </c>
      <c r="G46" s="116" t="s">
        <v>173</v>
      </c>
      <c r="H46" s="116" t="s">
        <v>174</v>
      </c>
    </row>
    <row r="47" spans="2:8" outlineLevel="1" x14ac:dyDescent="0.3">
      <c r="B47" t="s">
        <v>175</v>
      </c>
      <c r="D47" s="116" t="s">
        <v>176</v>
      </c>
      <c r="E47" s="116" t="s">
        <v>177</v>
      </c>
      <c r="F47" s="116" t="s">
        <v>178</v>
      </c>
      <c r="G47" s="116" t="s">
        <v>179</v>
      </c>
      <c r="H47" s="116" t="s">
        <v>180</v>
      </c>
    </row>
    <row r="48" spans="2:8" outlineLevel="1" x14ac:dyDescent="0.3">
      <c r="B48" t="s">
        <v>151</v>
      </c>
      <c r="D48" s="116" t="s">
        <v>140</v>
      </c>
      <c r="E48" s="116" t="s">
        <v>140</v>
      </c>
      <c r="F48" s="116" t="s">
        <v>140</v>
      </c>
      <c r="G48" s="116" t="s">
        <v>140</v>
      </c>
      <c r="H48" s="116" t="s">
        <v>140</v>
      </c>
    </row>
    <row r="49" spans="2:8" outlineLevel="1" x14ac:dyDescent="0.3">
      <c r="B49" t="s">
        <v>181</v>
      </c>
      <c r="D49" s="116" t="s">
        <v>182</v>
      </c>
      <c r="E49" s="116" t="s">
        <v>183</v>
      </c>
      <c r="F49" s="116" t="s">
        <v>184</v>
      </c>
      <c r="G49" s="116" t="s">
        <v>142</v>
      </c>
      <c r="H49" s="116" t="s">
        <v>142</v>
      </c>
    </row>
    <row r="50" spans="2:8" outlineLevel="1" x14ac:dyDescent="0.3">
      <c r="B50" t="s">
        <v>185</v>
      </c>
      <c r="D50" s="116" t="s">
        <v>186</v>
      </c>
      <c r="E50" s="116" t="s">
        <v>187</v>
      </c>
      <c r="F50" s="116" t="s">
        <v>188</v>
      </c>
      <c r="G50" s="116" t="s">
        <v>142</v>
      </c>
      <c r="H50" s="116" t="s">
        <v>142</v>
      </c>
    </row>
    <row r="51" spans="2:8" outlineLevel="1" x14ac:dyDescent="0.3">
      <c r="B51" t="s">
        <v>189</v>
      </c>
      <c r="D51" s="116" t="s">
        <v>140</v>
      </c>
      <c r="E51" s="116" t="s">
        <v>140</v>
      </c>
      <c r="F51" s="116" t="s">
        <v>140</v>
      </c>
      <c r="G51" s="116" t="s">
        <v>140</v>
      </c>
      <c r="H51" s="116" t="s">
        <v>140</v>
      </c>
    </row>
    <row r="52" spans="2:8" outlineLevel="1" x14ac:dyDescent="0.3">
      <c r="B52" t="s">
        <v>190</v>
      </c>
      <c r="D52" s="116" t="s">
        <v>191</v>
      </c>
      <c r="E52" s="116" t="s">
        <v>192</v>
      </c>
      <c r="F52" s="116" t="s">
        <v>193</v>
      </c>
      <c r="G52" s="116" t="s">
        <v>194</v>
      </c>
      <c r="H52" s="116" t="s">
        <v>195</v>
      </c>
    </row>
    <row r="53" spans="2:8" outlineLevel="1" x14ac:dyDescent="0.3">
      <c r="B53" t="s">
        <v>196</v>
      </c>
      <c r="D53" s="116" t="s">
        <v>197</v>
      </c>
      <c r="E53" s="116" t="s">
        <v>198</v>
      </c>
      <c r="F53" s="116" t="s">
        <v>199</v>
      </c>
      <c r="G53" s="116" t="s">
        <v>142</v>
      </c>
      <c r="H53" s="116" t="s">
        <v>142</v>
      </c>
    </row>
    <row r="54" spans="2:8" outlineLevel="1" x14ac:dyDescent="0.3">
      <c r="B54" t="s">
        <v>200</v>
      </c>
      <c r="D54" s="116" t="s">
        <v>201</v>
      </c>
      <c r="E54" s="116" t="s">
        <v>202</v>
      </c>
      <c r="F54" s="116" t="s">
        <v>203</v>
      </c>
      <c r="G54" s="116" t="s">
        <v>204</v>
      </c>
      <c r="H54" s="116" t="s">
        <v>205</v>
      </c>
    </row>
  </sheetData>
  <sheetProtection algorithmName="SHA-512" hashValue="9vYE6kIgvMAyqVDeEmec649DW/Hf3jpxZwWhA/Rv802EFqkp6+KO2b7pBeR601vHhRlPCbciyDNxLUtt08+g3Q==" saltValue="0XhWn1h53pXkojFUrZjirQ==" spinCount="100000" sheet="1" objects="1" scenarios="1"/>
  <pageMargins left="0.7" right="0.7" top="0.75" bottom="0.75" header="0.3" footer="0.3"/>
  <pageSetup scale="82" orientation="landscape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5:F16"/>
  <sheetViews>
    <sheetView showGridLines="0" view="pageBreakPreview" zoomScale="205" zoomScaleNormal="160" zoomScaleSheetLayoutView="205" workbookViewId="0">
      <selection activeCell="D5" sqref="D5"/>
    </sheetView>
  </sheetViews>
  <sheetFormatPr defaultRowHeight="14.4" x14ac:dyDescent="0.3"/>
  <cols>
    <col min="1" max="1" width="2.6640625" customWidth="1"/>
    <col min="2" max="2" width="1.109375" customWidth="1"/>
    <col min="3" max="3" width="2" bestFit="1" customWidth="1"/>
    <col min="4" max="4" width="50.109375" customWidth="1"/>
    <col min="5" max="5" width="13.33203125" bestFit="1" customWidth="1"/>
    <col min="7" max="7" width="1.88671875" customWidth="1"/>
  </cols>
  <sheetData>
    <row r="5" spans="3:6" ht="33" thickBot="1" x14ac:dyDescent="0.65">
      <c r="C5" s="2" t="s">
        <v>309</v>
      </c>
      <c r="D5" s="3"/>
      <c r="E5" s="3"/>
      <c r="F5" s="3"/>
    </row>
    <row r="6" spans="3:6" ht="5.0999999999999996" customHeight="1" x14ac:dyDescent="0.3"/>
    <row r="7" spans="3:6" x14ac:dyDescent="0.3">
      <c r="D7" s="5" t="s">
        <v>24</v>
      </c>
    </row>
    <row r="8" spans="3:6" ht="20.100000000000001" customHeight="1" x14ac:dyDescent="0.3">
      <c r="C8">
        <v>1</v>
      </c>
      <c r="D8" s="4" t="s">
        <v>25</v>
      </c>
    </row>
    <row r="9" spans="3:6" ht="20.100000000000001" customHeight="1" x14ac:dyDescent="0.3">
      <c r="C9">
        <f>C8+1</f>
        <v>2</v>
      </c>
      <c r="D9" s="4" t="s">
        <v>12</v>
      </c>
    </row>
    <row r="10" spans="3:6" ht="20.100000000000001" customHeight="1" x14ac:dyDescent="0.3">
      <c r="C10">
        <f>C9+1</f>
        <v>3</v>
      </c>
      <c r="D10" s="4" t="s">
        <v>13</v>
      </c>
    </row>
    <row r="11" spans="3:6" ht="20.100000000000001" customHeight="1" x14ac:dyDescent="0.3">
      <c r="C11">
        <f>C10+1</f>
        <v>4</v>
      </c>
      <c r="D11" s="4" t="s">
        <v>29</v>
      </c>
      <c r="E11" t="s">
        <v>27</v>
      </c>
      <c r="F11" s="6"/>
    </row>
    <row r="12" spans="3:6" ht="20.100000000000001" customHeight="1" x14ac:dyDescent="0.3">
      <c r="C12">
        <f>C11+1</f>
        <v>5</v>
      </c>
      <c r="D12" s="4" t="s">
        <v>14</v>
      </c>
      <c r="E12" t="s">
        <v>15</v>
      </c>
      <c r="F12" s="7"/>
    </row>
    <row r="13" spans="3:6" x14ac:dyDescent="0.3">
      <c r="E13" t="s">
        <v>16</v>
      </c>
      <c r="F13" s="9"/>
    </row>
    <row r="14" spans="3:6" x14ac:dyDescent="0.3">
      <c r="E14" t="s">
        <v>17</v>
      </c>
      <c r="F14" s="8"/>
    </row>
    <row r="16" spans="3:6" ht="5.25" customHeight="1" x14ac:dyDescent="0.3">
      <c r="C16" s="1"/>
      <c r="D16" s="1"/>
      <c r="E16" s="1"/>
      <c r="F16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10</vt:i4>
      </vt:variant>
    </vt:vector>
  </HeadingPairs>
  <TitlesOfParts>
    <vt:vector size="25" baseType="lpstr">
      <vt:lpstr>Cover page</vt:lpstr>
      <vt:lpstr>Steps</vt:lpstr>
      <vt:lpstr>Interest schedule</vt:lpstr>
      <vt:lpstr>Financial model</vt:lpstr>
      <vt:lpstr>Scenarios</vt:lpstr>
      <vt:lpstr>Revenue breakdown</vt:lpstr>
      <vt:lpstr>Depreciation schedule</vt:lpstr>
      <vt:lpstr>Wall Street estimates</vt:lpstr>
      <vt:lpstr>Valuation--&gt;</vt:lpstr>
      <vt:lpstr>Comparable Trading analysis</vt:lpstr>
      <vt:lpstr>Comp Valuation</vt:lpstr>
      <vt:lpstr>Precedent Transaction </vt:lpstr>
      <vt:lpstr>AMZN</vt:lpstr>
      <vt:lpstr>DCF Analysis</vt:lpstr>
      <vt:lpstr>football field</vt:lpstr>
      <vt:lpstr>'Cover page'!Print_Area</vt:lpstr>
      <vt:lpstr>'Depreciation schedule'!Print_Area</vt:lpstr>
      <vt:lpstr>'Financial model'!Print_Area</vt:lpstr>
      <vt:lpstr>'Interest schedule'!Print_Area</vt:lpstr>
      <vt:lpstr>'Precedent Transaction '!Print_Area</vt:lpstr>
      <vt:lpstr>'Revenue breakdown'!Print_Area</vt:lpstr>
      <vt:lpstr>Scenarios!Print_Area</vt:lpstr>
      <vt:lpstr>Steps!Print_Area</vt:lpstr>
      <vt:lpstr>'Valuation--&gt;'!Print_Area</vt:lpstr>
      <vt:lpstr>'Wall Street estimates'!Print_Area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romero</dc:creator>
  <cp:lastModifiedBy>Jessica</cp:lastModifiedBy>
  <cp:lastPrinted>2020-06-03T21:47:48Z</cp:lastPrinted>
  <dcterms:created xsi:type="dcterms:W3CDTF">2020-01-07T00:06:25Z</dcterms:created>
  <dcterms:modified xsi:type="dcterms:W3CDTF">2024-02-08T10:52:38Z</dcterms:modified>
</cp:coreProperties>
</file>